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SA Milch Goat\"/>
    </mc:Choice>
  </mc:AlternateContent>
  <xr:revisionPtr revIDLastSave="0" documentId="13_ncr:1_{673FBFC7-80B7-4531-9385-4FB17648E8B9}" xr6:coauthVersionLast="47" xr6:coauthVersionMax="47" xr10:uidLastSave="{00000000-0000-0000-0000-000000000000}"/>
  <bookViews>
    <workbookView xWindow="-60" yWindow="0" windowWidth="20460" windowHeight="11025" firstSheet="1" activeTab="6" xr2:uid="{00000000-000D-0000-FFFF-FFFF00000000}"/>
  </bookViews>
  <sheets>
    <sheet name="Report Dec17" sheetId="41" r:id="rId1"/>
    <sheet name="Report Sep18" sheetId="40" r:id="rId2"/>
    <sheet name="Invoicing" sheetId="42" r:id="rId3"/>
    <sheet name="Payments" sheetId="43" r:id="rId4"/>
    <sheet name="Cover" sheetId="36" r:id="rId5"/>
    <sheet name="Recon" sheetId="38" r:id="rId6"/>
    <sheet name="Ledelys" sheetId="44" r:id="rId7"/>
    <sheet name="Emails" sheetId="45" r:id="rId8"/>
  </sheets>
  <externalReferences>
    <externalReference r:id="rId9"/>
    <externalReference r:id="rId10"/>
    <externalReference r:id="rId11"/>
    <externalReference r:id="rId12"/>
    <externalReference r:id="rId13"/>
  </externalReferences>
  <definedNames>
    <definedName name="_Order1" hidden="1">0</definedName>
    <definedName name="a" localSheetId="5">[1]!a</definedName>
    <definedName name="a" localSheetId="0">'Report Dec17'!a</definedName>
    <definedName name="a" localSheetId="1">'Report Sep18'!a</definedName>
    <definedName name="a">[0]!a</definedName>
    <definedName name="ab" localSheetId="5">[1]!ab</definedName>
    <definedName name="ab" localSheetId="0">'Report Dec17'!ab</definedName>
    <definedName name="ab" localSheetId="1">'Report Sep18'!ab</definedName>
    <definedName name="ab">[0]!ab</definedName>
    <definedName name="abs" localSheetId="5">[1]!abs</definedName>
    <definedName name="abs" localSheetId="0">'Report Dec17'!abs</definedName>
    <definedName name="abs" localSheetId="1">'Report Sep18'!abs</definedName>
    <definedName name="abs">[0]!abs</definedName>
    <definedName name="as" localSheetId="5">[1]!as</definedName>
    <definedName name="as" localSheetId="0">'Report Dec17'!as</definedName>
    <definedName name="as" localSheetId="1">'Report Sep18'!as</definedName>
    <definedName name="as">[0]!as</definedName>
    <definedName name="e" localSheetId="5">[1]!e</definedName>
    <definedName name="e" localSheetId="0">'Report Dec17'!e</definedName>
    <definedName name="e" localSheetId="1">'Report Sep18'!e</definedName>
    <definedName name="e">[0]!e</definedName>
    <definedName name="EFG" localSheetId="5">Recon!EFG</definedName>
    <definedName name="EFG" localSheetId="0">'Report Dec17'!EFG</definedName>
    <definedName name="EFG" localSheetId="1">'Report Sep18'!EFG</definedName>
    <definedName name="EFG">[0]!EFG</definedName>
    <definedName name="EPLP" localSheetId="5">Recon!EPLP</definedName>
    <definedName name="EPLP" localSheetId="0">'Report Dec17'!EPLP</definedName>
    <definedName name="EPLP" localSheetId="1">'Report Sep18'!EPLP</definedName>
    <definedName name="EPLP">[0]!EPLP</definedName>
    <definedName name="EPLT" localSheetId="5">Recon!EPLT</definedName>
    <definedName name="EPLT" localSheetId="0">'Report Dec17'!EPLT</definedName>
    <definedName name="EPLT" localSheetId="1">'Report Sep18'!EPLT</definedName>
    <definedName name="EPLT">[0]!EPLT</definedName>
    <definedName name="HB" localSheetId="5">Recon!HB</definedName>
    <definedName name="HB" localSheetId="0">'Report Dec17'!HB</definedName>
    <definedName name="HB" localSheetId="1">'Report Sep18'!HB</definedName>
    <definedName name="HB">[0]!HB</definedName>
    <definedName name="HJ" localSheetId="5">Recon!HJ</definedName>
    <definedName name="HJ" localSheetId="0">'Report Dec17'!HJ</definedName>
    <definedName name="HJ" localSheetId="1">'Report Sep18'!HJ</definedName>
    <definedName name="HJ">[0]!HJ</definedName>
    <definedName name="i" localSheetId="5">[1]!i</definedName>
    <definedName name="i" localSheetId="0">'Report Dec17'!i</definedName>
    <definedName name="i" localSheetId="1">'Report Sep18'!i</definedName>
    <definedName name="i">[0]!i</definedName>
    <definedName name="iefg" localSheetId="5">[1]!iefg</definedName>
    <definedName name="iefg" localSheetId="0">'Report Dec17'!iefg</definedName>
    <definedName name="iefg" localSheetId="1">'Report Sep18'!iefg</definedName>
    <definedName name="iefg">[0]!iefg</definedName>
    <definedName name="ieplp" localSheetId="5">[1]!ieplp</definedName>
    <definedName name="ieplp" localSheetId="0">'Report Dec17'!ieplp</definedName>
    <definedName name="ieplp" localSheetId="1">'Report Sep18'!ieplp</definedName>
    <definedName name="ieplp">[0]!ieplp</definedName>
    <definedName name="ieplt" localSheetId="5">[1]!ieplt</definedName>
    <definedName name="ieplt" localSheetId="0">'Report Dec17'!ieplt</definedName>
    <definedName name="ieplt" localSheetId="1">'Report Sep18'!ieplt</definedName>
    <definedName name="ieplt">[0]!ieplt</definedName>
    <definedName name="IGS" localSheetId="5">Recon!IGS</definedName>
    <definedName name="IGS" localSheetId="0">'Report Dec17'!IGS</definedName>
    <definedName name="IGS" localSheetId="1">'Report Sep18'!IGS</definedName>
    <definedName name="IGS">[0]!IGS</definedName>
    <definedName name="iigs" localSheetId="5">[1]!iigs</definedName>
    <definedName name="iigs" localSheetId="0">'Report Dec17'!iigs</definedName>
    <definedName name="iigs" localSheetId="1">'Report Sep18'!iigs</definedName>
    <definedName name="iigs">[0]!iigs</definedName>
    <definedName name="iipla" localSheetId="5">[1]!iipla</definedName>
    <definedName name="iipla" localSheetId="0">'Report Dec17'!iipla</definedName>
    <definedName name="iipla" localSheetId="1">'Report Sep18'!iipla</definedName>
    <definedName name="iipla">[0]!iipla</definedName>
    <definedName name="iiplf" localSheetId="5">[1]!iiplf</definedName>
    <definedName name="iiplf" localSheetId="0">'Report Dec17'!iiplf</definedName>
    <definedName name="iiplf" localSheetId="1">'Report Sep18'!iiplf</definedName>
    <definedName name="iiplf">[0]!iiplf</definedName>
    <definedName name="iiplh" localSheetId="5">[1]!iiplh</definedName>
    <definedName name="iiplh" localSheetId="0">'Report Dec17'!iiplh</definedName>
    <definedName name="iiplh" localSheetId="1">'Report Sep18'!iiplh</definedName>
    <definedName name="iiplh">[0]!iiplh</definedName>
    <definedName name="iiplp" localSheetId="5">[1]!iiplp</definedName>
    <definedName name="iiplp" localSheetId="0">'Report Dec17'!iiplp</definedName>
    <definedName name="iiplp" localSheetId="1">'Report Sep18'!iiplp</definedName>
    <definedName name="iiplp">[0]!iiplp</definedName>
    <definedName name="iiplr" localSheetId="5">[1]!iiplr</definedName>
    <definedName name="iiplr" localSheetId="0">'Report Dec17'!iiplr</definedName>
    <definedName name="iiplr" localSheetId="1">'Report Sep18'!iiplr</definedName>
    <definedName name="iiplr">[0]!iiplr</definedName>
    <definedName name="iiplt" localSheetId="5">[1]!iiplt</definedName>
    <definedName name="iiplt" localSheetId="0">'Report Dec17'!iiplt</definedName>
    <definedName name="iiplt" localSheetId="1">'Report Sep18'!iiplt</definedName>
    <definedName name="iiplt">[0]!iiplt</definedName>
    <definedName name="iitplr" localSheetId="5">[1]!iitplr</definedName>
    <definedName name="iitplr" localSheetId="0">'Report Dec17'!iitplr</definedName>
    <definedName name="iitplr" localSheetId="1">'Report Sep18'!iitplr</definedName>
    <definedName name="iitplr">[0]!iitplr</definedName>
    <definedName name="imay" localSheetId="5">[1]!imay</definedName>
    <definedName name="imay" localSheetId="0">'Report Dec17'!imay</definedName>
    <definedName name="imay" localSheetId="1">'Report Sep18'!imay</definedName>
    <definedName name="imay">[0]!imay</definedName>
    <definedName name="IPLA" localSheetId="5">Recon!IPLA</definedName>
    <definedName name="IPLA" localSheetId="0">'Report Dec17'!IPLA</definedName>
    <definedName name="IPLA" localSheetId="1">'Report Sep18'!IPLA</definedName>
    <definedName name="IPLA">[0]!IPLA</definedName>
    <definedName name="IPLF" localSheetId="5">Recon!IPLF</definedName>
    <definedName name="IPLF" localSheetId="0">'Report Dec17'!IPLF</definedName>
    <definedName name="IPLF" localSheetId="1">'Report Sep18'!IPLF</definedName>
    <definedName name="IPLF">[0]!IPLF</definedName>
    <definedName name="IPLH" localSheetId="5">Recon!IPLH</definedName>
    <definedName name="IPLH" localSheetId="0">'Report Dec17'!IPLH</definedName>
    <definedName name="IPLH" localSheetId="1">'Report Sep18'!IPLH</definedName>
    <definedName name="IPLH">[0]!IPLH</definedName>
    <definedName name="IPLP" localSheetId="5">Recon!IPLP</definedName>
    <definedName name="IPLP" localSheetId="0">'Report Dec17'!IPLP</definedName>
    <definedName name="IPLP" localSheetId="1">'Report Sep18'!IPLP</definedName>
    <definedName name="IPLP">[0]!IPLP</definedName>
    <definedName name="IPLR" localSheetId="5">Recon!IPLR</definedName>
    <definedName name="IPLR" localSheetId="0">'Report Dec17'!IPLR</definedName>
    <definedName name="IPLR" localSheetId="1">'Report Sep18'!IPLR</definedName>
    <definedName name="IPLR">[0]!IPLR</definedName>
    <definedName name="IPLT" localSheetId="5">Recon!IPLT</definedName>
    <definedName name="IPLT" localSheetId="0">'Report Dec17'!IPLT</definedName>
    <definedName name="IPLT" localSheetId="1">'Report Sep18'!IPLT</definedName>
    <definedName name="IPLT">[0]!IPLT</definedName>
    <definedName name="JH" localSheetId="5">Recon!JH</definedName>
    <definedName name="JH" localSheetId="0">'Report Dec17'!JH</definedName>
    <definedName name="JH" localSheetId="1">'Report Sep18'!JH</definedName>
    <definedName name="JH">[0]!JH</definedName>
    <definedName name="JULY" localSheetId="5">Recon!JULY</definedName>
    <definedName name="JULY" localSheetId="0">'Report Dec17'!JULY</definedName>
    <definedName name="JULY" localSheetId="1">'Report Sep18'!JULY</definedName>
    <definedName name="JULY">[0]!JULY</definedName>
    <definedName name="Lastdate" localSheetId="0">[2]Parameters!$A$12</definedName>
    <definedName name="Lastdate" localSheetId="1">[2]Parameters!$A$12</definedName>
    <definedName name="Lastdate">[3]Parameters!$A$12</definedName>
    <definedName name="Lastday" localSheetId="0">[2]Parameters!$A$7</definedName>
    <definedName name="Lastday" localSheetId="1">[2]Parameters!$A$7</definedName>
    <definedName name="Lastday">[3]Parameters!$A$7</definedName>
    <definedName name="MAY" localSheetId="5">Recon!MAY</definedName>
    <definedName name="MAY" localSheetId="0">'Report Dec17'!MAY</definedName>
    <definedName name="MAY" localSheetId="1">'Report Sep18'!MAY</definedName>
    <definedName name="MAY">[0]!MAY</definedName>
    <definedName name="Month" localSheetId="0">[4]IFRM!$U$1:$AD$12</definedName>
    <definedName name="Month" localSheetId="1">[4]IFRM!$U$1:$AD$12</definedName>
    <definedName name="Month">[5]IFRM!$U$1:$AD$12</definedName>
    <definedName name="o" localSheetId="5">[1]!o</definedName>
    <definedName name="o" localSheetId="0">'Report Dec17'!o</definedName>
    <definedName name="o" localSheetId="1">'Report Sep18'!o</definedName>
    <definedName name="o">[0]!o</definedName>
    <definedName name="Prevlastday" localSheetId="0">[2]Parameters!$A$10</definedName>
    <definedName name="Prevlastday" localSheetId="1">[2]Parameters!$A$10</definedName>
    <definedName name="Prevlastday">[3]Parameters!$A$10</definedName>
    <definedName name="Prevlastmonth" localSheetId="0">[2]Parameters!$A$11</definedName>
    <definedName name="Prevlastmonth" localSheetId="1">[2]Parameters!$A$11</definedName>
    <definedName name="Prevlastmonth">[3]Parameters!$A$11</definedName>
    <definedName name="_xlnm.Print_Titles" localSheetId="5">Recon!$1:$4</definedName>
    <definedName name="_xlnm.Print_Titles" localSheetId="0">'Report Dec17'!$3:$3</definedName>
    <definedName name="_xlnm.Print_Titles" localSheetId="1">'Report Sep18'!$3:$3</definedName>
    <definedName name="q" localSheetId="5">[1]!q</definedName>
    <definedName name="q" localSheetId="0">'Report Dec17'!q</definedName>
    <definedName name="q" localSheetId="1">'Report Sep18'!q</definedName>
    <definedName name="q">[0]!q</definedName>
    <definedName name="RRR" localSheetId="5">Recon!RRR</definedName>
    <definedName name="RRR" localSheetId="0">'Report Dec17'!RRR</definedName>
    <definedName name="RRR" localSheetId="1">'Report Sep18'!RRR</definedName>
    <definedName name="RRR">[0]!RRR</definedName>
    <definedName name="RRRRR" localSheetId="5">Recon!RRRRR</definedName>
    <definedName name="RRRRR" localSheetId="0">'Report Dec17'!RRRRR</definedName>
    <definedName name="RRRRR" localSheetId="1">'Report Sep18'!RRRRR</definedName>
    <definedName name="RRRRR">[0]!RRRRR</definedName>
    <definedName name="RTY" localSheetId="5">Recon!RTY</definedName>
    <definedName name="RTY" localSheetId="0">'Report Dec17'!RTY</definedName>
    <definedName name="RTY" localSheetId="1">'Report Sep18'!RTY</definedName>
    <definedName name="RTY">[0]!RTY</definedName>
    <definedName name="Stocktake" localSheetId="0">[2]Parameters!$A$6</definedName>
    <definedName name="Stocktake" localSheetId="1">[2]Parameters!$A$6</definedName>
    <definedName name="Stocktake">[3]Parameters!$A$6</definedName>
    <definedName name="t" localSheetId="5">[1]!t</definedName>
    <definedName name="t" localSheetId="0">'Report Dec17'!t</definedName>
    <definedName name="t" localSheetId="1">'Report Sep18'!t</definedName>
    <definedName name="t">[0]!t</definedName>
    <definedName name="TGS" localSheetId="5">Recon!TGS</definedName>
    <definedName name="TGS" localSheetId="0">'Report Dec17'!TGS</definedName>
    <definedName name="TGS" localSheetId="1">'Report Sep18'!TGS</definedName>
    <definedName name="TGS">[0]!TGS</definedName>
    <definedName name="TIPLF" localSheetId="5">Recon!TIPLF</definedName>
    <definedName name="TIPLF" localSheetId="0">'Report Dec17'!TIPLF</definedName>
    <definedName name="TIPLF" localSheetId="1">'Report Sep18'!TIPLF</definedName>
    <definedName name="TIPLF">[0]!TIPLF</definedName>
    <definedName name="TPLR" localSheetId="5">Recon!TPLR</definedName>
    <definedName name="TPLR" localSheetId="0">'Report Dec17'!TPLR</definedName>
    <definedName name="TPLR" localSheetId="1">'Report Sep18'!TPLR</definedName>
    <definedName name="TPLR">[0]!TPLR</definedName>
    <definedName name="TY" localSheetId="5">Recon!TY</definedName>
    <definedName name="TY" localSheetId="0">'Report Dec17'!TY</definedName>
    <definedName name="TY" localSheetId="1">'Report Sep18'!TY</definedName>
    <definedName name="TY">[0]!TY</definedName>
    <definedName name="u" localSheetId="5">[1]!u</definedName>
    <definedName name="u" localSheetId="0">'Report Dec17'!u</definedName>
    <definedName name="u" localSheetId="1">'Report Sep18'!u</definedName>
    <definedName name="u">[0]!u</definedName>
    <definedName name="UIPLH" localSheetId="5">Recon!UIPLH</definedName>
    <definedName name="UIPLH" localSheetId="0">'Report Dec17'!UIPLH</definedName>
    <definedName name="UIPLH" localSheetId="1">'Report Sep18'!UIPLH</definedName>
    <definedName name="UIPLH">[0]!UIPLH</definedName>
    <definedName name="UIPLP" localSheetId="5">Recon!UIPLP</definedName>
    <definedName name="UIPLP" localSheetId="0">'Report Dec17'!UIPLP</definedName>
    <definedName name="UIPLP" localSheetId="1">'Report Sep18'!UIPLP</definedName>
    <definedName name="UIPLP">[0]!UIPLP</definedName>
    <definedName name="UIPLR" localSheetId="5">Recon!UIPLR</definedName>
    <definedName name="UIPLR" localSheetId="0">'Report Dec17'!UIPLR</definedName>
    <definedName name="UIPLR" localSheetId="1">'Report Sep18'!UIPLR</definedName>
    <definedName name="UIPLR">[0]!UIPLR</definedName>
    <definedName name="UIPLT" localSheetId="5">Recon!UIPLT</definedName>
    <definedName name="UIPLT" localSheetId="0">'Report Dec17'!UIPLT</definedName>
    <definedName name="UIPLT" localSheetId="1">'Report Sep18'!UIPLT</definedName>
    <definedName name="UIPLT">[0]!UIPLT</definedName>
    <definedName name="UY" localSheetId="5">Recon!UY</definedName>
    <definedName name="UY" localSheetId="0">'Report Dec17'!UY</definedName>
    <definedName name="UY" localSheetId="1">'Report Sep18'!UY</definedName>
    <definedName name="UY">[0]!UY</definedName>
    <definedName name="w" localSheetId="5">[1]!w</definedName>
    <definedName name="w" localSheetId="0">'Report Dec17'!w</definedName>
    <definedName name="w" localSheetId="1">'Report Sep18'!w</definedName>
    <definedName name="w">[0]!w</definedName>
    <definedName name="y" localSheetId="5">[1]!y</definedName>
    <definedName name="y" localSheetId="0">'Report Dec17'!y</definedName>
    <definedName name="y" localSheetId="1">'Report Sep18'!y</definedName>
    <definedName name="y">[0]!y</definedName>
    <definedName name="Year" localSheetId="0">[2]Parameters!$A$5</definedName>
    <definedName name="Year" localSheetId="1">[2]Parameters!$A$5</definedName>
    <definedName name="Year">[3]Parameters!$A$5</definedName>
    <definedName name="YT" localSheetId="5">Recon!YT</definedName>
    <definedName name="YT" localSheetId="0">'Report Dec17'!YT</definedName>
    <definedName name="YT" localSheetId="1">'Report Sep18'!YT</definedName>
    <definedName name="YT">[0]!YT</definedName>
    <definedName name="YTR" localSheetId="5">Recon!YTR</definedName>
    <definedName name="YTR" localSheetId="0">'Report Dec17'!YTR</definedName>
    <definedName name="YTR" localSheetId="1">'Report Sep18'!YTR</definedName>
    <definedName name="YTR">[0]!YTR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7" i="40" l="1"/>
  <c r="F34" i="40"/>
  <c r="F8" i="40"/>
  <c r="F37" i="40"/>
  <c r="F14" i="40"/>
  <c r="F9" i="40"/>
  <c r="H24" i="42"/>
  <c r="H23" i="42"/>
  <c r="H22" i="42"/>
  <c r="H21" i="42"/>
  <c r="H20" i="42"/>
  <c r="H19" i="42"/>
  <c r="H18" i="43"/>
  <c r="H17" i="43"/>
  <c r="H16" i="43"/>
  <c r="H15" i="43"/>
  <c r="H14" i="43"/>
  <c r="H13" i="43"/>
  <c r="H12" i="43"/>
  <c r="H11" i="43"/>
  <c r="H10" i="43"/>
  <c r="H9" i="43"/>
  <c r="H8" i="43"/>
  <c r="H7" i="43"/>
  <c r="H18" i="42"/>
  <c r="H17" i="42"/>
  <c r="H16" i="42"/>
  <c r="H15" i="42"/>
  <c r="H14" i="42"/>
  <c r="H13" i="42"/>
  <c r="H12" i="42"/>
  <c r="H11" i="42"/>
  <c r="H10" i="42"/>
  <c r="H9" i="42"/>
  <c r="H8" i="42"/>
  <c r="H7" i="42"/>
  <c r="A10" i="40"/>
  <c r="A8" i="40"/>
  <c r="B39" i="40"/>
  <c r="B38" i="40"/>
  <c r="B37" i="40"/>
  <c r="B36" i="40"/>
  <c r="B35" i="40"/>
  <c r="B34" i="40"/>
  <c r="B33" i="40"/>
  <c r="B32" i="40"/>
  <c r="B31" i="40"/>
  <c r="B30" i="40"/>
  <c r="B29" i="40"/>
  <c r="B28" i="40"/>
  <c r="B27" i="40"/>
  <c r="B26" i="40"/>
  <c r="B25" i="40"/>
  <c r="B24" i="40"/>
  <c r="B23" i="40"/>
  <c r="B18" i="40"/>
  <c r="B17" i="40"/>
  <c r="B16" i="40"/>
  <c r="B15" i="40"/>
  <c r="B14" i="40"/>
  <c r="B13" i="40"/>
  <c r="B12" i="40"/>
  <c r="B11" i="40"/>
  <c r="B10" i="40"/>
  <c r="B9" i="40"/>
  <c r="B8" i="40"/>
  <c r="B7" i="40"/>
  <c r="B6" i="40"/>
  <c r="G37" i="40"/>
  <c r="F6" i="41"/>
  <c r="F29" i="41"/>
  <c r="F7" i="41"/>
  <c r="E75" i="41"/>
  <c r="E71" i="41"/>
  <c r="E74" i="41"/>
  <c r="F45" i="41"/>
  <c r="F38" i="41"/>
  <c r="G18" i="41"/>
  <c r="E65" i="41"/>
  <c r="E66" i="41"/>
  <c r="E67" i="41"/>
  <c r="E63" i="41"/>
  <c r="F46" i="41"/>
  <c r="G46" i="41"/>
  <c r="F37" i="41"/>
  <c r="G37" i="41"/>
  <c r="F32" i="41"/>
  <c r="G44" i="41"/>
  <c r="F43" i="41"/>
  <c r="G43" i="41"/>
  <c r="F63" i="41"/>
  <c r="J63" i="41"/>
  <c r="J68" i="41"/>
  <c r="K63" i="41"/>
  <c r="L63" i="41"/>
  <c r="L68" i="41"/>
  <c r="F64" i="41"/>
  <c r="K64" i="41"/>
  <c r="F65" i="41"/>
  <c r="K65" i="41"/>
  <c r="M65" i="41"/>
  <c r="F66" i="41"/>
  <c r="K66" i="41"/>
  <c r="M66" i="41"/>
  <c r="F67" i="41"/>
  <c r="G67" i="41"/>
  <c r="G68" i="41"/>
  <c r="K67" i="41"/>
  <c r="N67" i="41"/>
  <c r="N68" i="41"/>
  <c r="O67" i="41"/>
  <c r="O68" i="41"/>
  <c r="P67" i="41"/>
  <c r="P68" i="41"/>
  <c r="H68" i="41"/>
  <c r="I68" i="41"/>
  <c r="Q68" i="41"/>
  <c r="R68" i="41"/>
  <c r="S68" i="41"/>
  <c r="T68" i="41"/>
  <c r="U68" i="41"/>
  <c r="J71" i="41"/>
  <c r="T72" i="41"/>
  <c r="U73" i="41"/>
  <c r="J75" i="41"/>
  <c r="K75" i="41"/>
  <c r="K76" i="41"/>
  <c r="F76" i="41"/>
  <c r="G76" i="41"/>
  <c r="H76" i="41"/>
  <c r="I76" i="41"/>
  <c r="L76" i="41"/>
  <c r="Q76" i="41"/>
  <c r="R76" i="41"/>
  <c r="S76" i="41"/>
  <c r="T76" i="41"/>
  <c r="U76" i="41"/>
  <c r="F47" i="41"/>
  <c r="F40" i="41"/>
  <c r="G40" i="41"/>
  <c r="F39" i="41"/>
  <c r="G39" i="41"/>
  <c r="F12" i="41"/>
  <c r="G12" i="41"/>
  <c r="F11" i="41"/>
  <c r="E32" i="41"/>
  <c r="E49" i="41"/>
  <c r="E23" i="41"/>
  <c r="B32" i="41"/>
  <c r="E76" i="41"/>
  <c r="G47" i="41"/>
  <c r="G45" i="41"/>
  <c r="G42" i="41"/>
  <c r="G41" i="41"/>
  <c r="G38" i="41"/>
  <c r="G36" i="41"/>
  <c r="G35" i="41"/>
  <c r="G34" i="41"/>
  <c r="G33" i="41"/>
  <c r="A32" i="41"/>
  <c r="A49" i="41"/>
  <c r="G31" i="41"/>
  <c r="G30" i="41"/>
  <c r="G29" i="41"/>
  <c r="G28" i="41"/>
  <c r="G27" i="41"/>
  <c r="G26" i="41"/>
  <c r="H23" i="41"/>
  <c r="A23" i="41"/>
  <c r="G20" i="41"/>
  <c r="G19" i="41"/>
  <c r="G17" i="41"/>
  <c r="G16" i="41"/>
  <c r="G15" i="41"/>
  <c r="G14" i="41"/>
  <c r="G13" i="41"/>
  <c r="G10" i="41"/>
  <c r="G9" i="41"/>
  <c r="G8" i="41"/>
  <c r="G7" i="41"/>
  <c r="B23" i="41"/>
  <c r="G6" i="41"/>
  <c r="E68" i="41"/>
  <c r="M68" i="41"/>
  <c r="K68" i="41"/>
  <c r="A51" i="41"/>
  <c r="F68" i="41"/>
  <c r="J76" i="41"/>
  <c r="F49" i="41"/>
  <c r="F23" i="41"/>
  <c r="E51" i="41"/>
  <c r="G21" i="41"/>
  <c r="B49" i="41"/>
  <c r="B51" i="41"/>
  <c r="G11" i="41"/>
  <c r="G32" i="41"/>
  <c r="G49" i="41"/>
  <c r="G29" i="40"/>
  <c r="G38" i="40"/>
  <c r="G18" i="40"/>
  <c r="G12" i="40"/>
  <c r="E41" i="40"/>
  <c r="A41" i="40"/>
  <c r="G39" i="40"/>
  <c r="G36" i="40"/>
  <c r="G35" i="40"/>
  <c r="G34" i="40"/>
  <c r="G33" i="40"/>
  <c r="G32" i="40"/>
  <c r="G31" i="40"/>
  <c r="G30" i="40"/>
  <c r="G28" i="40"/>
  <c r="G27" i="40"/>
  <c r="G26" i="40"/>
  <c r="G25" i="40"/>
  <c r="G24" i="40"/>
  <c r="G23" i="40"/>
  <c r="H20" i="40"/>
  <c r="E20" i="40"/>
  <c r="A20" i="40"/>
  <c r="G17" i="40"/>
  <c r="G16" i="40"/>
  <c r="G15" i="40"/>
  <c r="G14" i="40"/>
  <c r="G13" i="40"/>
  <c r="G10" i="40"/>
  <c r="G9" i="40"/>
  <c r="G8" i="40"/>
  <c r="G7" i="40"/>
  <c r="G6" i="40"/>
  <c r="A43" i="40"/>
  <c r="F41" i="40"/>
  <c r="B41" i="40"/>
  <c r="F51" i="41"/>
  <c r="G23" i="41"/>
  <c r="G51" i="41"/>
  <c r="E56" i="40"/>
  <c r="F20" i="40"/>
  <c r="E43" i="40"/>
  <c r="B20" i="40"/>
  <c r="G41" i="40"/>
  <c r="G11" i="40"/>
  <c r="G20" i="40"/>
  <c r="B43" i="40"/>
  <c r="F43" i="40"/>
  <c r="G43" i="40"/>
  <c r="F6" i="38"/>
  <c r="F7" i="38"/>
  <c r="F8" i="38"/>
  <c r="F9" i="38"/>
  <c r="F10" i="38"/>
  <c r="F11" i="38"/>
  <c r="F12" i="38"/>
  <c r="F13" i="38"/>
  <c r="F14" i="38"/>
  <c r="F15" i="38"/>
  <c r="F16" i="38"/>
  <c r="F17" i="38"/>
  <c r="F18" i="38"/>
  <c r="F19" i="38"/>
  <c r="F20" i="38"/>
  <c r="F21" i="38"/>
  <c r="F22" i="38"/>
  <c r="F23" i="38"/>
  <c r="F24" i="38"/>
  <c r="F25" i="38"/>
  <c r="F26" i="38"/>
  <c r="F27" i="38"/>
  <c r="F28" i="38"/>
  <c r="F29" i="38"/>
  <c r="F30" i="38"/>
  <c r="F31" i="38"/>
  <c r="F32" i="38"/>
  <c r="F33" i="38"/>
  <c r="F34" i="38"/>
  <c r="F35" i="38"/>
  <c r="F36" i="38"/>
  <c r="F37" i="38"/>
  <c r="F38" i="38"/>
  <c r="F39" i="38"/>
  <c r="F40" i="38"/>
  <c r="F41" i="38"/>
  <c r="F42" i="38"/>
  <c r="F43" i="38"/>
  <c r="F44" i="38"/>
  <c r="F45" i="38"/>
  <c r="F46" i="38"/>
  <c r="F47" i="38"/>
  <c r="F48" i="38"/>
  <c r="F49" i="38"/>
  <c r="F50" i="38"/>
  <c r="F51" i="38"/>
  <c r="F52" i="38"/>
  <c r="F53" i="38"/>
  <c r="F54" i="38"/>
  <c r="F55" i="38"/>
  <c r="F56" i="38"/>
  <c r="F57" i="38"/>
  <c r="F58" i="38"/>
  <c r="F59" i="38"/>
  <c r="F60" i="38"/>
  <c r="F61" i="38"/>
  <c r="F62" i="38"/>
  <c r="F63" i="38"/>
  <c r="F64" i="38"/>
  <c r="F65" i="38"/>
  <c r="F66" i="38"/>
  <c r="F67" i="38"/>
  <c r="F68" i="38"/>
  <c r="F69" i="38"/>
  <c r="F70" i="38"/>
  <c r="F71" i="38"/>
  <c r="F72" i="38"/>
  <c r="F73" i="38"/>
  <c r="F74" i="38"/>
  <c r="F75" i="38"/>
  <c r="F76" i="38"/>
  <c r="F77" i="38"/>
  <c r="F78" i="38"/>
  <c r="F79" i="38"/>
  <c r="F80" i="38"/>
  <c r="F81" i="38"/>
  <c r="F82" i="38"/>
  <c r="F83" i="38"/>
  <c r="F84" i="38"/>
  <c r="F85" i="38"/>
  <c r="F86" i="38"/>
  <c r="F87" i="38"/>
  <c r="F88" i="38"/>
  <c r="F89" i="38"/>
  <c r="F90" i="38"/>
  <c r="F91" i="38"/>
  <c r="F92" i="38"/>
  <c r="F93" i="38"/>
  <c r="F94" i="38"/>
  <c r="F95" i="38"/>
  <c r="F96" i="38"/>
  <c r="F97" i="38"/>
  <c r="F98" i="38"/>
  <c r="F99" i="38"/>
  <c r="F100" i="38"/>
  <c r="F101" i="38"/>
  <c r="F102" i="38"/>
  <c r="F103" i="38"/>
  <c r="F104" i="38"/>
  <c r="F105" i="38"/>
  <c r="F106" i="38"/>
  <c r="F107" i="38"/>
  <c r="F108" i="38"/>
  <c r="F109" i="38"/>
  <c r="F110" i="38"/>
  <c r="F111" i="38"/>
  <c r="F112" i="38"/>
  <c r="F113" i="38"/>
  <c r="F114" i="38"/>
  <c r="F115" i="38"/>
  <c r="F116" i="38"/>
  <c r="F117" i="38"/>
  <c r="F118" i="38"/>
  <c r="F119" i="38"/>
  <c r="F120" i="38"/>
  <c r="F121" i="38"/>
</calcChain>
</file>

<file path=xl/sharedStrings.xml><?xml version="1.0" encoding="utf-8"?>
<sst xmlns="http://schemas.openxmlformats.org/spreadsheetml/2006/main" count="453" uniqueCount="363">
  <si>
    <t>Account</t>
  </si>
  <si>
    <t/>
  </si>
  <si>
    <t>1200/000</t>
  </si>
  <si>
    <t>1300/000</t>
  </si>
  <si>
    <t>1500/000</t>
  </si>
  <si>
    <t>2750/002</t>
  </si>
  <si>
    <t>Accounting Fees</t>
  </si>
  <si>
    <t>3050/000</t>
  </si>
  <si>
    <t>3150/000</t>
  </si>
  <si>
    <t>3200/000</t>
  </si>
  <si>
    <t>Bank Charges</t>
  </si>
  <si>
    <t>3300/000</t>
  </si>
  <si>
    <t>Computer Expenses</t>
  </si>
  <si>
    <t>3350/000</t>
  </si>
  <si>
    <t>3400/000</t>
  </si>
  <si>
    <t>3450/000</t>
  </si>
  <si>
    <t>Depreciation</t>
  </si>
  <si>
    <t>3600/000</t>
  </si>
  <si>
    <t>3650/000</t>
  </si>
  <si>
    <t>3700/000</t>
  </si>
  <si>
    <t>3850/000</t>
  </si>
  <si>
    <t>Insurance</t>
  </si>
  <si>
    <t>Legal Fees</t>
  </si>
  <si>
    <t>4200/000</t>
  </si>
  <si>
    <t>Salaries &amp; Wages</t>
  </si>
  <si>
    <t>4600/000</t>
  </si>
  <si>
    <t>4650/000</t>
  </si>
  <si>
    <t>8400/000</t>
  </si>
  <si>
    <t xml:space="preserve">Budget </t>
  </si>
  <si>
    <t>Actual</t>
  </si>
  <si>
    <t>Diff</t>
  </si>
  <si>
    <t>EXPENSES</t>
  </si>
  <si>
    <t>Total Income</t>
  </si>
  <si>
    <t>INCOME</t>
  </si>
  <si>
    <t>Total Expenses</t>
  </si>
  <si>
    <t>NETT PROFIT/(LOSS)</t>
  </si>
  <si>
    <t>Customer Age Analysis - 120 Days</t>
  </si>
  <si>
    <t>Customer Age Analysis - 90 Days</t>
  </si>
  <si>
    <t>Customer Age Analysis - 60 Days</t>
  </si>
  <si>
    <t>Customer Age Analysis - 30 Days</t>
  </si>
  <si>
    <t>Customer Age Analysis - Current</t>
  </si>
  <si>
    <t>Customer Age Analysis - Total</t>
  </si>
  <si>
    <t>Appraisals</t>
  </si>
  <si>
    <t>Boerboel Books</t>
  </si>
  <si>
    <t>Foreign Income</t>
  </si>
  <si>
    <t>Show Income / Loss</t>
  </si>
  <si>
    <t>Advertisement</t>
  </si>
  <si>
    <t>Audit Fees</t>
  </si>
  <si>
    <t>Catering &amp; Entertainment</t>
  </si>
  <si>
    <t>Flowers</t>
  </si>
  <si>
    <t>Internet Costs</t>
  </si>
  <si>
    <t>Postage &amp; Stamps</t>
  </si>
  <si>
    <t>Printing &amp; stationery</t>
  </si>
  <si>
    <t>Studbook: Studbook</t>
  </si>
  <si>
    <t>Telephone</t>
  </si>
  <si>
    <t>1100/010</t>
  </si>
  <si>
    <t>1100/020</t>
  </si>
  <si>
    <t>1150/000</t>
  </si>
  <si>
    <t>1600/000</t>
  </si>
  <si>
    <t>1700/000</t>
  </si>
  <si>
    <t>1900/000</t>
  </si>
  <si>
    <t>2600/000</t>
  </si>
  <si>
    <t>Microchips &amp; Scanners</t>
  </si>
  <si>
    <t>2910/000</t>
  </si>
  <si>
    <t>3010/000</t>
  </si>
  <si>
    <t>4500/010</t>
  </si>
  <si>
    <t>4610/020</t>
  </si>
  <si>
    <t>4640/000</t>
  </si>
  <si>
    <t>4650/011</t>
  </si>
  <si>
    <t>8500/000</t>
  </si>
  <si>
    <t>8510/000</t>
  </si>
  <si>
    <t>Bad Debt</t>
  </si>
  <si>
    <t>3801/000</t>
  </si>
  <si>
    <t>7101/000</t>
  </si>
  <si>
    <t>June 13</t>
  </si>
  <si>
    <t>May 13</t>
  </si>
  <si>
    <t>RSA</t>
  </si>
  <si>
    <t>USA $</t>
  </si>
  <si>
    <t>Per Capita</t>
  </si>
  <si>
    <t>Board Meetings</t>
  </si>
  <si>
    <t>July 13</t>
  </si>
  <si>
    <t>Aug 13</t>
  </si>
  <si>
    <t>Sep 13</t>
  </si>
  <si>
    <t>1120/010</t>
  </si>
  <si>
    <t>May 14</t>
  </si>
  <si>
    <t>Apr 14</t>
  </si>
  <si>
    <t>Mar 14</t>
  </si>
  <si>
    <t>Oct 14</t>
  </si>
  <si>
    <t>Total</t>
  </si>
  <si>
    <t>Interest</t>
  </si>
  <si>
    <t>Studbook: Secretariate</t>
  </si>
  <si>
    <t>Web Site</t>
  </si>
  <si>
    <t>DNA Test</t>
  </si>
  <si>
    <t>May 15</t>
  </si>
  <si>
    <t>ABSA Cheque Account SABBS 089</t>
  </si>
  <si>
    <t>ABSA Cheque Account SABT 811</t>
  </si>
  <si>
    <t>ABSA Money Market 385</t>
  </si>
  <si>
    <t>FNB Call Account 756</t>
  </si>
  <si>
    <t>July 15</t>
  </si>
  <si>
    <t>Membership Fees</t>
  </si>
  <si>
    <t>Entrance Fee</t>
  </si>
  <si>
    <t>1160/000</t>
  </si>
  <si>
    <t>Prefix</t>
  </si>
  <si>
    <t>Birth Notifications</t>
  </si>
  <si>
    <t>1550/000</t>
  </si>
  <si>
    <t>Duplicate</t>
  </si>
  <si>
    <t>3000/000</t>
  </si>
  <si>
    <t>Appraisals Expenses</t>
  </si>
  <si>
    <t>AGM Expenses</t>
  </si>
  <si>
    <t>Aug 16</t>
  </si>
  <si>
    <t>Export Permits</t>
  </si>
  <si>
    <t>Budget17</t>
  </si>
  <si>
    <t>Management Accounts SABBS - 2017</t>
  </si>
  <si>
    <t>Transfer Fees</t>
  </si>
  <si>
    <t>Dec 16</t>
  </si>
  <si>
    <t>Apr 17</t>
  </si>
  <si>
    <t>8540/000</t>
  </si>
  <si>
    <t>ABSA Investment Account 7407</t>
  </si>
  <si>
    <t>July 17</t>
  </si>
  <si>
    <t>DATE</t>
  </si>
  <si>
    <t>INVOICE</t>
  </si>
  <si>
    <t>DESCP</t>
  </si>
  <si>
    <t>DEBIT</t>
  </si>
  <si>
    <t>CREDIT</t>
  </si>
  <si>
    <t>BALANCE</t>
  </si>
  <si>
    <t>Great Lake Boerboels - SABBS $$$$</t>
  </si>
  <si>
    <t>Date</t>
  </si>
  <si>
    <t>Description</t>
  </si>
  <si>
    <t>Oct 17</t>
  </si>
  <si>
    <t>Session</t>
  </si>
  <si>
    <t>1930/000</t>
  </si>
  <si>
    <t>Journal Book</t>
  </si>
  <si>
    <t>4610/010</t>
  </si>
  <si>
    <t>January 17 - December 17</t>
  </si>
  <si>
    <t>12Months</t>
  </si>
  <si>
    <t>Dec 17</t>
  </si>
  <si>
    <t>Budget18</t>
  </si>
  <si>
    <t>9Months</t>
  </si>
  <si>
    <t>January 18 - September 18</t>
  </si>
  <si>
    <t>Sep 18</t>
  </si>
  <si>
    <t>BIRTH NOTIFICATION BOOKS</t>
  </si>
  <si>
    <t>ENTRY FEES</t>
  </si>
  <si>
    <t>INSPECTION FEES</t>
  </si>
  <si>
    <t>INTREST RECEIVED</t>
  </si>
  <si>
    <t>MEMBER FEES</t>
  </si>
  <si>
    <t>FINES BIRTH FEES</t>
  </si>
  <si>
    <t>REGISTRATIONS</t>
  </si>
  <si>
    <t>Bad Debt Recover</t>
  </si>
  <si>
    <t>REINSTATEMENT FEES</t>
  </si>
  <si>
    <t>NATIONAL CHAMPIONSHIP SHOW</t>
  </si>
  <si>
    <t>TRANSFERS</t>
  </si>
  <si>
    <t>DONATIONS</t>
  </si>
  <si>
    <t>LEVIES - per capita</t>
  </si>
  <si>
    <t>ADVERTISEMENTS</t>
  </si>
  <si>
    <t>AUDIT FEES</t>
  </si>
  <si>
    <t>SECRETARIAL DATA SERVICES</t>
  </si>
  <si>
    <t>BAD DEDT</t>
  </si>
  <si>
    <t>BANK CHARGES</t>
  </si>
  <si>
    <t>NAMPO EXPENSES</t>
  </si>
  <si>
    <t>DNS OUERSKAP</t>
  </si>
  <si>
    <t>POSTAGE &amp; TELEPHONE</t>
  </si>
  <si>
    <t>PRINTING &amp; STATIONARY</t>
  </si>
  <si>
    <t>SA STUDBOOK</t>
  </si>
  <si>
    <t>AFFILIATION FEES</t>
  </si>
  <si>
    <t>INSPECTIONS Travelling</t>
  </si>
  <si>
    <t>INTERNET</t>
  </si>
  <si>
    <t>REFRESHMENTS</t>
  </si>
  <si>
    <t>DEPRECIATION</t>
  </si>
  <si>
    <t>6400/000</t>
  </si>
  <si>
    <t xml:space="preserve">Standard Cheque Account </t>
  </si>
  <si>
    <t>Standard Investment Account</t>
  </si>
  <si>
    <t>7000/900</t>
  </si>
  <si>
    <t>Acc</t>
  </si>
  <si>
    <t>Name</t>
  </si>
  <si>
    <t>S01</t>
  </si>
  <si>
    <t>Mervyn Swart</t>
  </si>
  <si>
    <t>Code</t>
  </si>
  <si>
    <t>Amount</t>
  </si>
  <si>
    <t>Quanity</t>
  </si>
  <si>
    <t>1300/002</t>
  </si>
  <si>
    <t>SA Milch Goat Breeders Society</t>
  </si>
  <si>
    <t>Action:</t>
  </si>
  <si>
    <t>Keuring, JWC1617 SMG</t>
  </si>
  <si>
    <t>Keuring, MS603,MS609 SMG</t>
  </si>
  <si>
    <t>C04</t>
  </si>
  <si>
    <t>Walter Curlewis</t>
  </si>
  <si>
    <t>Keuring 1&amp;2</t>
  </si>
  <si>
    <t>V04</t>
  </si>
  <si>
    <t>Koos vd Westhuizen</t>
  </si>
  <si>
    <t>V13</t>
  </si>
  <si>
    <t>Kenny vd Merwe</t>
  </si>
  <si>
    <t>Keuring 3&amp;4</t>
  </si>
  <si>
    <t>Keuring 5</t>
  </si>
  <si>
    <t>Keuring dagloon</t>
  </si>
  <si>
    <t>A05</t>
  </si>
  <si>
    <t>Anysbos</t>
  </si>
  <si>
    <t>Keuring 6</t>
  </si>
  <si>
    <t>Keuring Travelling</t>
  </si>
  <si>
    <t>Invoicing</t>
  </si>
  <si>
    <t>Payments:</t>
  </si>
  <si>
    <t>Anysbos Dagloon</t>
  </si>
  <si>
    <t>Anysbos Travelling</t>
  </si>
  <si>
    <t>1300/003</t>
  </si>
  <si>
    <t>1300/001</t>
  </si>
  <si>
    <t>3801/001</t>
  </si>
  <si>
    <t>3801/002</t>
  </si>
  <si>
    <t>Keuring 7</t>
  </si>
  <si>
    <t>C Back</t>
  </si>
  <si>
    <t>B01</t>
  </si>
  <si>
    <t>Problem Members</t>
  </si>
  <si>
    <t>A04 Alamut 624068</t>
  </si>
  <si>
    <t>C06 Camilla's Farm 608190</t>
  </si>
  <si>
    <t>F03 Fritz 619194</t>
  </si>
  <si>
    <t>G03 Gouws 622219</t>
  </si>
  <si>
    <t>I01 Invermooi 658034</t>
  </si>
  <si>
    <t>N03 Nuwerust Dairy</t>
  </si>
  <si>
    <t>S07 W Steenkamp 588706</t>
  </si>
  <si>
    <t>S09 Safari Stoet</t>
  </si>
  <si>
    <t>V17 Van der Westuizen JH 588670</t>
  </si>
  <si>
    <t xml:space="preserve">V18 Van Aswegen </t>
  </si>
  <si>
    <t>Management Accounts SA Milch Goats - 2018</t>
  </si>
  <si>
    <t>DIE S.A. MELKBOKTELERSGENOOTSKAP</t>
  </si>
  <si>
    <t>THE S.A. MILCH GOAT BREEDERS’ SOCIETY</t>
  </si>
  <si>
    <t>Lid Nr / Member No</t>
  </si>
  <si>
    <t>Naam/Name</t>
  </si>
  <si>
    <t>Adres/ Address</t>
  </si>
  <si>
    <t>Tel</t>
  </si>
  <si>
    <t>KKl / HDL</t>
  </si>
  <si>
    <t xml:space="preserve">info@anysbos.co.za </t>
  </si>
  <si>
    <t>JH</t>
  </si>
  <si>
    <t>curlewiswalter@yahoo.com</t>
  </si>
  <si>
    <t>BP</t>
  </si>
  <si>
    <t>Kaalvoet</t>
  </si>
  <si>
    <t>D011</t>
  </si>
  <si>
    <t>Summerstrand,Port Elizabeth,6001</t>
  </si>
  <si>
    <t xml:space="preserve">sivuyiled@gmail.com </t>
  </si>
  <si>
    <t>Dabas</t>
  </si>
  <si>
    <t>L03</t>
  </si>
  <si>
    <t>Limpopo Melkery 2</t>
  </si>
  <si>
    <t>goats@limpopodairy.co.za</t>
  </si>
  <si>
    <t>joubert@limpopodairy.co.za</t>
  </si>
  <si>
    <t>TJG</t>
  </si>
  <si>
    <t>Ledig</t>
  </si>
  <si>
    <t>Swart MPH</t>
  </si>
  <si>
    <t xml:space="preserve">Lewenslange </t>
  </si>
  <si>
    <t>Ere-President</t>
  </si>
  <si>
    <t>lattaia@webmail.co.za</t>
  </si>
  <si>
    <t>082 820 0960</t>
  </si>
  <si>
    <t>MS</t>
  </si>
  <si>
    <t>Lattaia</t>
  </si>
  <si>
    <t>Van der Westhuizen JM</t>
  </si>
  <si>
    <t>mpos@hantam.co.za</t>
  </si>
  <si>
    <t>082 495 6735</t>
  </si>
  <si>
    <t>JMW</t>
  </si>
  <si>
    <t>T’Belle</t>
  </si>
  <si>
    <t>D03</t>
  </si>
  <si>
    <t>Du Preez GG</t>
  </si>
  <si>
    <t>Ere-Lewenslid</t>
  </si>
  <si>
    <t>Webblad adres\Web Page:  www.milkgoats.co.za</t>
  </si>
  <si>
    <t>TOG</t>
  </si>
  <si>
    <t>BAG</t>
  </si>
  <si>
    <t>082 6011 067</t>
  </si>
  <si>
    <t>BAG - SMG</t>
  </si>
  <si>
    <t>Bus 1524 SuiderPaarl, 7324</t>
  </si>
  <si>
    <t>084 7758 172</t>
  </si>
  <si>
    <t>1152 Admirality Way</t>
  </si>
  <si>
    <t>073 5287 288</t>
  </si>
  <si>
    <t>SMG</t>
  </si>
  <si>
    <t>Ledig Trust</t>
  </si>
  <si>
    <t>Bus 756, Louis Trichardt, 0920</t>
  </si>
  <si>
    <t>076 4037 521</t>
  </si>
  <si>
    <t>Posbus 5 Middelpos 8193</t>
  </si>
  <si>
    <t>027 3418 505</t>
  </si>
  <si>
    <t>027 3412 516</t>
  </si>
  <si>
    <t>Voorvoegsel Prefix - Aansluitings Datem Inception Date</t>
  </si>
  <si>
    <t>Dabas Enterprise (Daba)</t>
  </si>
  <si>
    <t>BAG - TOG - BDE</t>
  </si>
  <si>
    <t>021 863 4530</t>
  </si>
  <si>
    <t>015 519 5448</t>
  </si>
  <si>
    <t>053 631 1247</t>
  </si>
  <si>
    <t>janroevniekerk@gmail.com;</t>
  </si>
  <si>
    <t>chardela@intekom.co.za;</t>
  </si>
  <si>
    <t>chateautourell@gmail.com;</t>
  </si>
  <si>
    <t>curlewiswalter@yahoo.com;</t>
  </si>
  <si>
    <t>esteevanaswegen@gmail.com;</t>
  </si>
  <si>
    <t>goats@limpopodairy.co.za;</t>
  </si>
  <si>
    <t>hannesvdwesthuizen@gmail.com ;</t>
  </si>
  <si>
    <t>info@anysbos.co.za ;</t>
  </si>
  <si>
    <t>janwiese@mweb.co.za;</t>
  </si>
  <si>
    <t>joubert@limpopodairy.co.za;</t>
  </si>
  <si>
    <t>kenny@thabilelodge.co.za;</t>
  </si>
  <si>
    <t>lattaia@webmail.co.za;</t>
  </si>
  <si>
    <t>mary@netmobile.co.za ;</t>
  </si>
  <si>
    <t>mpos@hantam.co.za;</t>
  </si>
  <si>
    <t>sivuyiled@gmail.com ;</t>
  </si>
  <si>
    <t>accounts@thabilelodge.co.za;</t>
  </si>
  <si>
    <t>L05</t>
  </si>
  <si>
    <t>079 454 3472</t>
  </si>
  <si>
    <t>082 494 3532</t>
  </si>
  <si>
    <t>Posbus 550, Botrivier, 7185</t>
  </si>
  <si>
    <t>Johan Heyns</t>
  </si>
  <si>
    <t>Curlewis JW</t>
  </si>
  <si>
    <t>Koos</t>
  </si>
  <si>
    <t>Bus 484, De Aar, 7000</t>
  </si>
  <si>
    <t>Walter</t>
  </si>
  <si>
    <t>SMG - BAG- TOG - BDE</t>
  </si>
  <si>
    <t>Smitty</t>
  </si>
  <si>
    <t>Bus 676, De Aar, 7000</t>
  </si>
  <si>
    <t>A07</t>
  </si>
  <si>
    <t>Egremont</t>
  </si>
  <si>
    <t>033 342 6677</t>
  </si>
  <si>
    <t>076 150 5193</t>
  </si>
  <si>
    <t>Gavin Armstrong</t>
  </si>
  <si>
    <t>kerrland@live.co.za</t>
  </si>
  <si>
    <t>Postnet Suite 173, Private Bag X6</t>
  </si>
  <si>
    <t>Cascades, 3209</t>
  </si>
  <si>
    <t>D12</t>
  </si>
  <si>
    <t>ADP</t>
  </si>
  <si>
    <t>Traka</t>
  </si>
  <si>
    <t>Traka British Alpine Stoet</t>
  </si>
  <si>
    <t xml:space="preserve">Almero </t>
  </si>
  <si>
    <t>Du Pisani A &amp; J</t>
  </si>
  <si>
    <t>kci@yebo.co.za</t>
  </si>
  <si>
    <t>Posbus 30 Minnieskraal, Willomore, 6445</t>
  </si>
  <si>
    <t>062 788 5471</t>
  </si>
  <si>
    <t xml:space="preserve">LEDELYS / MEMBER LIST </t>
  </si>
  <si>
    <t>E: info@milkgoats.co.za</t>
  </si>
  <si>
    <t>watsapp:</t>
  </si>
  <si>
    <t>Peh-Lone</t>
  </si>
  <si>
    <t>Luane Stapelberg</t>
  </si>
  <si>
    <t>PLS</t>
  </si>
  <si>
    <t>lstapelberg123@gmail.com</t>
  </si>
  <si>
    <t>van Dyk A</t>
  </si>
  <si>
    <t>Plaas Landmetersmoeite, Hoopstad,9479</t>
  </si>
  <si>
    <t>anjevandyk@outlook.com</t>
  </si>
  <si>
    <t>Anje</t>
  </si>
  <si>
    <t>AA</t>
  </si>
  <si>
    <t>Aromatic</t>
  </si>
  <si>
    <t>van Schalkwyk P</t>
  </si>
  <si>
    <t>Phillip</t>
  </si>
  <si>
    <t>Posbus 15, Williston, 8920</t>
  </si>
  <si>
    <t>Zakrivier</t>
  </si>
  <si>
    <t>WAL</t>
  </si>
  <si>
    <t>walkraalpvs@gmail.com</t>
  </si>
  <si>
    <t>053 391 4158</t>
  </si>
  <si>
    <t>073 791 3844</t>
  </si>
  <si>
    <t>076 041 1106</t>
  </si>
  <si>
    <t>admin@anysbos.co.za</t>
  </si>
  <si>
    <t>073 435 7716</t>
  </si>
  <si>
    <t>083 256 9757</t>
  </si>
  <si>
    <t>V020</t>
  </si>
  <si>
    <t>V19</t>
  </si>
  <si>
    <t>Ockert</t>
  </si>
  <si>
    <t>Vermeulen OC</t>
  </si>
  <si>
    <t>SMG - TOG</t>
  </si>
  <si>
    <t>V21</t>
  </si>
  <si>
    <t>Posbus 67, Modderaskolk,</t>
  </si>
  <si>
    <t>0736734005</t>
  </si>
  <si>
    <t>OCV</t>
  </si>
  <si>
    <t>No email</t>
  </si>
  <si>
    <t>Plot 23 Vaallus Estates</t>
  </si>
  <si>
    <t>Douglas Noord-Kaap 8735</t>
  </si>
  <si>
    <t>Lys soos op 18 Mei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</si>
</sst>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0_ ;[Red]\-0\ "/>
    <numFmt numFmtId="166" formatCode="[$-409]dd\-mmm\-yy;@"/>
  </numFmts>
  <fonts count="3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4"/>
      <name val="Arial"/>
      <family val="2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Tahoma"/>
      <family val="2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u/>
      <sz val="11"/>
      <color theme="10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rgb="FF0000FF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3">
    <xf numFmtId="0" fontId="0" fillId="0" borderId="0"/>
    <xf numFmtId="0" fontId="6" fillId="0" borderId="0"/>
    <xf numFmtId="0" fontId="5" fillId="0" borderId="0"/>
    <xf numFmtId="0" fontId="8" fillId="0" borderId="0"/>
    <xf numFmtId="0" fontId="9" fillId="0" borderId="0"/>
    <xf numFmtId="0" fontId="7" fillId="0" borderId="0"/>
    <xf numFmtId="0" fontId="10" fillId="0" borderId="0"/>
    <xf numFmtId="0" fontId="7" fillId="0" borderId="0"/>
    <xf numFmtId="0" fontId="12" fillId="0" borderId="0"/>
    <xf numFmtId="0" fontId="7" fillId="0" borderId="0"/>
    <xf numFmtId="0" fontId="13" fillId="0" borderId="0"/>
    <xf numFmtId="164" fontId="7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129">
    <xf numFmtId="0" fontId="0" fillId="0" borderId="0" xfId="0"/>
    <xf numFmtId="0" fontId="0" fillId="0" borderId="0" xfId="0" quotePrefix="1"/>
    <xf numFmtId="38" fontId="0" fillId="0" borderId="0" xfId="0" applyNumberFormat="1"/>
    <xf numFmtId="38" fontId="0" fillId="0" borderId="0" xfId="0" quotePrefix="1" applyNumberFormat="1"/>
    <xf numFmtId="0" fontId="1" fillId="0" borderId="0" xfId="0" quotePrefix="1" applyFont="1"/>
    <xf numFmtId="0" fontId="2" fillId="0" borderId="0" xfId="0" quotePrefix="1" applyFont="1"/>
    <xf numFmtId="38" fontId="1" fillId="0" borderId="0" xfId="0" quotePrefix="1" applyNumberFormat="1" applyFont="1"/>
    <xf numFmtId="0" fontId="3" fillId="0" borderId="0" xfId="0" applyFont="1"/>
    <xf numFmtId="0" fontId="3" fillId="0" borderId="0" xfId="0" quotePrefix="1" applyFont="1"/>
    <xf numFmtId="38" fontId="3" fillId="0" borderId="0" xfId="0" quotePrefix="1" applyNumberFormat="1" applyFont="1"/>
    <xf numFmtId="38" fontId="3" fillId="0" borderId="0" xfId="0" applyNumberFormat="1" applyFont="1"/>
    <xf numFmtId="0" fontId="4" fillId="0" borderId="0" xfId="0" quotePrefix="1" applyFont="1"/>
    <xf numFmtId="38" fontId="2" fillId="0" borderId="0" xfId="0" quotePrefix="1" applyNumberFormat="1" applyFont="1" applyAlignment="1">
      <alignment horizontal="right"/>
    </xf>
    <xf numFmtId="38" fontId="2" fillId="0" borderId="0" xfId="0" applyNumberFormat="1" applyFont="1" applyAlignment="1">
      <alignment horizontal="right"/>
    </xf>
    <xf numFmtId="0" fontId="1" fillId="0" borderId="0" xfId="0" applyFont="1"/>
    <xf numFmtId="38" fontId="0" fillId="0" borderId="0" xfId="0" quotePrefix="1" applyNumberFormat="1" applyAlignment="1">
      <alignment horizontal="right"/>
    </xf>
    <xf numFmtId="38" fontId="1" fillId="0" borderId="0" xfId="0" quotePrefix="1" applyNumberFormat="1" applyFont="1" applyAlignment="1">
      <alignment horizontal="center"/>
    </xf>
    <xf numFmtId="0" fontId="7" fillId="0" borderId="0" xfId="9" quotePrefix="1"/>
    <xf numFmtId="0" fontId="7" fillId="0" borderId="0" xfId="9"/>
    <xf numFmtId="38" fontId="7" fillId="0" borderId="0" xfId="9" applyNumberFormat="1"/>
    <xf numFmtId="0" fontId="0" fillId="0" borderId="0" xfId="0" applyAlignment="1">
      <alignment horizontal="center"/>
    </xf>
    <xf numFmtId="15" fontId="15" fillId="0" borderId="0" xfId="7" applyNumberFormat="1" applyFont="1"/>
    <xf numFmtId="165" fontId="15" fillId="0" borderId="0" xfId="7" applyNumberFormat="1" applyFont="1"/>
    <xf numFmtId="0" fontId="7" fillId="0" borderId="0" xfId="7" applyAlignment="1">
      <alignment horizontal="center"/>
    </xf>
    <xf numFmtId="40" fontId="7" fillId="0" borderId="0" xfId="7" applyNumberFormat="1"/>
    <xf numFmtId="0" fontId="7" fillId="0" borderId="0" xfId="7"/>
    <xf numFmtId="15" fontId="11" fillId="0" borderId="0" xfId="7" applyNumberFormat="1" applyFont="1"/>
    <xf numFmtId="165" fontId="11" fillId="0" borderId="0" xfId="7" applyNumberFormat="1" applyFont="1"/>
    <xf numFmtId="15" fontId="14" fillId="0" borderId="0" xfId="7" applyNumberFormat="1" applyFont="1" applyAlignment="1">
      <alignment horizontal="center"/>
    </xf>
    <xf numFmtId="165" fontId="14" fillId="0" borderId="0" xfId="7" applyNumberFormat="1" applyFont="1" applyAlignment="1">
      <alignment horizontal="center"/>
    </xf>
    <xf numFmtId="0" fontId="14" fillId="0" borderId="0" xfId="7" applyFont="1" applyAlignment="1">
      <alignment horizontal="center"/>
    </xf>
    <xf numFmtId="40" fontId="14" fillId="0" borderId="0" xfId="7" applyNumberFormat="1" applyFont="1" applyAlignment="1">
      <alignment horizontal="center"/>
    </xf>
    <xf numFmtId="15" fontId="7" fillId="0" borderId="0" xfId="7" applyNumberFormat="1"/>
    <xf numFmtId="165" fontId="7" fillId="0" borderId="0" xfId="7" applyNumberFormat="1"/>
    <xf numFmtId="166" fontId="7" fillId="0" borderId="0" xfId="7" applyNumberFormat="1"/>
    <xf numFmtId="166" fontId="14" fillId="0" borderId="0" xfId="7" applyNumberFormat="1" applyFont="1" applyAlignment="1">
      <alignment horizontal="center"/>
    </xf>
    <xf numFmtId="166" fontId="0" fillId="0" borderId="0" xfId="0" quotePrefix="1" applyNumberFormat="1"/>
    <xf numFmtId="166" fontId="0" fillId="0" borderId="0" xfId="0" applyNumberFormat="1"/>
    <xf numFmtId="40" fontId="0" fillId="0" borderId="0" xfId="0" applyNumberFormat="1"/>
    <xf numFmtId="40" fontId="0" fillId="0" borderId="0" xfId="0" quotePrefix="1" applyNumberFormat="1"/>
    <xf numFmtId="38" fontId="0" fillId="0" borderId="1" xfId="0" applyNumberFormat="1" applyBorder="1"/>
    <xf numFmtId="0" fontId="4" fillId="0" borderId="0" xfId="0" applyFont="1"/>
    <xf numFmtId="0" fontId="16" fillId="0" borderId="0" xfId="0" applyFont="1"/>
    <xf numFmtId="0" fontId="2" fillId="0" borderId="0" xfId="0" applyFont="1" applyAlignment="1">
      <alignment horizontal="center"/>
    </xf>
    <xf numFmtId="166" fontId="2" fillId="0" borderId="0" xfId="0" applyNumberFormat="1" applyFont="1" applyAlignment="1">
      <alignment horizontal="center"/>
    </xf>
    <xf numFmtId="40" fontId="2" fillId="0" borderId="0" xfId="0" applyNumberFormat="1" applyFont="1" applyAlignment="1">
      <alignment horizontal="center"/>
    </xf>
    <xf numFmtId="0" fontId="17" fillId="0" borderId="0" xfId="0" applyFont="1"/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12" applyAlignment="1">
      <alignment horizontal="center" vertical="center"/>
    </xf>
    <xf numFmtId="0" fontId="18" fillId="0" borderId="0" xfId="0" applyFont="1" applyAlignment="1">
      <alignment vertical="center" wrapText="1"/>
    </xf>
    <xf numFmtId="0" fontId="21" fillId="0" borderId="0" xfId="12" applyBorder="1" applyAlignment="1">
      <alignment vertical="center" wrapText="1"/>
    </xf>
    <xf numFmtId="0" fontId="0" fillId="0" borderId="0" xfId="0" applyAlignment="1">
      <alignment vertical="top" wrapText="1"/>
    </xf>
    <xf numFmtId="0" fontId="21" fillId="0" borderId="0" xfId="12" applyBorder="1" applyAlignment="1">
      <alignment vertical="top" wrapText="1"/>
    </xf>
    <xf numFmtId="0" fontId="21" fillId="0" borderId="0" xfId="12" applyBorder="1"/>
    <xf numFmtId="17" fontId="0" fillId="0" borderId="0" xfId="0" applyNumberFormat="1" applyAlignment="1">
      <alignment horizontal="center"/>
    </xf>
    <xf numFmtId="0" fontId="22" fillId="0" borderId="2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/>
    <xf numFmtId="0" fontId="24" fillId="0" borderId="7" xfId="12" applyFont="1" applyBorder="1" applyAlignment="1">
      <alignment vertical="center" wrapText="1"/>
    </xf>
    <xf numFmtId="0" fontId="23" fillId="0" borderId="7" xfId="0" applyFont="1" applyBorder="1" applyAlignment="1">
      <alignment horizontal="center" vertical="center" wrapText="1"/>
    </xf>
    <xf numFmtId="0" fontId="25" fillId="0" borderId="8" xfId="12" applyFont="1" applyBorder="1" applyAlignment="1">
      <alignment vertical="center" wrapText="1"/>
    </xf>
    <xf numFmtId="0" fontId="24" fillId="0" borderId="8" xfId="12" applyFont="1" applyBorder="1" applyAlignment="1">
      <alignment vertical="center" wrapText="1"/>
    </xf>
    <xf numFmtId="0" fontId="23" fillId="0" borderId="5" xfId="0" applyFont="1" applyBorder="1" applyAlignment="1">
      <alignment horizontal="center" vertical="top" wrapText="1"/>
    </xf>
    <xf numFmtId="0" fontId="23" fillId="0" borderId="8" xfId="0" applyFont="1" applyBorder="1" applyAlignment="1">
      <alignment horizontal="center" vertical="top" wrapText="1"/>
    </xf>
    <xf numFmtId="0" fontId="26" fillId="0" borderId="7" xfId="12" applyFont="1" applyFill="1" applyBorder="1" applyAlignment="1">
      <alignment vertical="center" wrapText="1"/>
    </xf>
    <xf numFmtId="0" fontId="25" fillId="0" borderId="7" xfId="12" applyFont="1" applyBorder="1" applyAlignment="1">
      <alignment vertical="center" wrapText="1"/>
    </xf>
    <xf numFmtId="0" fontId="23" fillId="0" borderId="8" xfId="0" applyFont="1" applyBorder="1" applyAlignment="1">
      <alignment vertical="top" wrapText="1"/>
    </xf>
    <xf numFmtId="0" fontId="23" fillId="0" borderId="6" xfId="0" quotePrefix="1" applyFont="1" applyBorder="1" applyAlignment="1">
      <alignment horizontal="center" vertical="top" wrapText="1"/>
    </xf>
    <xf numFmtId="0" fontId="23" fillId="0" borderId="6" xfId="0" applyFont="1" applyBorder="1" applyAlignment="1">
      <alignment horizontal="center"/>
    </xf>
    <xf numFmtId="0" fontId="23" fillId="0" borderId="8" xfId="0" applyFont="1" applyBorder="1" applyAlignment="1">
      <alignment horizontal="center"/>
    </xf>
    <xf numFmtId="0" fontId="23" fillId="0" borderId="3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7" fillId="0" borderId="8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6" xfId="0" quotePrefix="1" applyFont="1" applyBorder="1" applyAlignment="1">
      <alignment horizontal="center" vertical="center" wrapText="1"/>
    </xf>
    <xf numFmtId="0" fontId="23" fillId="0" borderId="7" xfId="0" quotePrefix="1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3" fillId="0" borderId="6" xfId="0" applyFont="1" applyBorder="1" applyAlignment="1">
      <alignment vertical="center" wrapText="1"/>
    </xf>
    <xf numFmtId="0" fontId="23" fillId="0" borderId="7" xfId="0" applyFont="1" applyBorder="1" applyAlignment="1">
      <alignment vertical="center" wrapText="1"/>
    </xf>
    <xf numFmtId="166" fontId="23" fillId="0" borderId="7" xfId="0" applyNumberFormat="1" applyFont="1" applyBorder="1" applyAlignment="1">
      <alignment horizontal="center" vertical="center" wrapText="1"/>
    </xf>
    <xf numFmtId="0" fontId="24" fillId="0" borderId="7" xfId="0" applyFont="1" applyBorder="1" applyAlignment="1">
      <alignment vertical="center" wrapText="1"/>
    </xf>
    <xf numFmtId="0" fontId="28" fillId="0" borderId="7" xfId="0" applyFont="1" applyBorder="1" applyAlignment="1">
      <alignment horizontal="center" vertical="center" wrapText="1"/>
    </xf>
    <xf numFmtId="0" fontId="28" fillId="0" borderId="8" xfId="0" applyFont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top" wrapText="1"/>
    </xf>
    <xf numFmtId="0" fontId="23" fillId="0" borderId="4" xfId="0" quotePrefix="1" applyFont="1" applyBorder="1" applyAlignment="1">
      <alignment horizontal="center" vertical="center" wrapText="1"/>
    </xf>
    <xf numFmtId="15" fontId="23" fillId="0" borderId="7" xfId="0" applyNumberFormat="1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26" fillId="0" borderId="3" xfId="12" applyFont="1" applyBorder="1" applyAlignment="1">
      <alignment vertical="center" wrapText="1"/>
    </xf>
    <xf numFmtId="0" fontId="26" fillId="0" borderId="4" xfId="12" applyFont="1" applyBorder="1" applyAlignment="1">
      <alignment vertical="center" wrapText="1"/>
    </xf>
    <xf numFmtId="0" fontId="26" fillId="0" borderId="6" xfId="12" applyFont="1" applyFill="1" applyBorder="1" applyAlignment="1">
      <alignment vertical="center" wrapText="1"/>
    </xf>
    <xf numFmtId="0" fontId="25" fillId="0" borderId="8" xfId="12" applyFont="1" applyFill="1" applyBorder="1" applyAlignment="1">
      <alignment vertical="center" wrapText="1"/>
    </xf>
    <xf numFmtId="3" fontId="23" fillId="0" borderId="6" xfId="0" quotePrefix="1" applyNumberFormat="1" applyFont="1" applyBorder="1" applyAlignment="1">
      <alignment horizontal="center" vertical="center" wrapText="1"/>
    </xf>
    <xf numFmtId="3" fontId="23" fillId="0" borderId="7" xfId="0" quotePrefix="1" applyNumberFormat="1" applyFont="1" applyBorder="1" applyAlignment="1">
      <alignment horizontal="center" vertical="center" wrapText="1"/>
    </xf>
    <xf numFmtId="0" fontId="23" fillId="0" borderId="8" xfId="0" quotePrefix="1" applyFont="1" applyBorder="1" applyAlignment="1">
      <alignment horizontal="center" vertical="top" wrapText="1"/>
    </xf>
    <xf numFmtId="0" fontId="25" fillId="0" borderId="5" xfId="12" applyFont="1" applyBorder="1" applyAlignment="1">
      <alignment vertical="center" wrapText="1"/>
    </xf>
    <xf numFmtId="0" fontId="23" fillId="0" borderId="3" xfId="0" quotePrefix="1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21" fillId="0" borderId="7" xfId="12" applyBorder="1" applyAlignment="1">
      <alignment vertical="center" wrapText="1"/>
    </xf>
    <xf numFmtId="0" fontId="21" fillId="0" borderId="8" xfId="12" applyBorder="1" applyAlignment="1">
      <alignment vertical="center" wrapText="1"/>
    </xf>
    <xf numFmtId="0" fontId="23" fillId="0" borderId="8" xfId="0" quotePrefix="1" applyFont="1" applyBorder="1" applyAlignment="1">
      <alignment horizontal="center" vertical="center" wrapText="1"/>
    </xf>
    <xf numFmtId="166" fontId="23" fillId="0" borderId="8" xfId="0" applyNumberFormat="1" applyFont="1" applyBorder="1" applyAlignment="1">
      <alignment horizontal="center" vertical="center" wrapText="1"/>
    </xf>
    <xf numFmtId="0" fontId="29" fillId="0" borderId="7" xfId="12" applyFont="1" applyBorder="1" applyAlignment="1">
      <alignment vertical="center" wrapText="1"/>
    </xf>
    <xf numFmtId="0" fontId="23" fillId="0" borderId="3" xfId="0" applyFont="1" applyBorder="1" applyAlignment="1">
      <alignment vertical="center"/>
    </xf>
    <xf numFmtId="0" fontId="21" fillId="0" borderId="4" xfId="12" applyBorder="1" applyAlignment="1">
      <alignment vertical="center"/>
    </xf>
    <xf numFmtId="0" fontId="29" fillId="0" borderId="7" xfId="12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3" xfId="0" applyFont="1" applyBorder="1" applyAlignment="1">
      <alignment vertical="center" wrapText="1"/>
    </xf>
    <xf numFmtId="0" fontId="23" fillId="0" borderId="4" xfId="0" applyFont="1" applyBorder="1" applyAlignment="1">
      <alignment vertical="center" wrapText="1"/>
    </xf>
    <xf numFmtId="0" fontId="23" fillId="0" borderId="3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29" fillId="0" borderId="3" xfId="12" applyFont="1" applyBorder="1" applyAlignment="1">
      <alignment horizontal="center" vertical="center" wrapText="1"/>
    </xf>
    <xf numFmtId="0" fontId="29" fillId="0" borderId="4" xfId="12" applyFont="1" applyBorder="1" applyAlignment="1">
      <alignment horizontal="center" vertical="center" wrapText="1"/>
    </xf>
    <xf numFmtId="0" fontId="26" fillId="0" borderId="3" xfId="12" applyFont="1" applyBorder="1" applyAlignment="1">
      <alignment horizontal="center" vertical="center" wrapText="1"/>
    </xf>
    <xf numFmtId="0" fontId="26" fillId="0" borderId="4" xfId="12" applyFont="1" applyBorder="1" applyAlignment="1">
      <alignment horizontal="center" vertical="center" wrapText="1"/>
    </xf>
    <xf numFmtId="166" fontId="23" fillId="0" borderId="4" xfId="0" applyNumberFormat="1" applyFont="1" applyBorder="1" applyAlignment="1">
      <alignment horizontal="center" vertical="center" wrapText="1"/>
    </xf>
    <xf numFmtId="166" fontId="23" fillId="0" borderId="5" xfId="0" applyNumberFormat="1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/>
    </xf>
    <xf numFmtId="0" fontId="23" fillId="0" borderId="5" xfId="0" applyFont="1" applyBorder="1" applyAlignment="1">
      <alignment vertical="center" wrapText="1"/>
    </xf>
    <xf numFmtId="15" fontId="23" fillId="0" borderId="4" xfId="0" applyNumberFormat="1" applyFont="1" applyBorder="1" applyAlignment="1">
      <alignment horizontal="center" vertical="center" wrapText="1"/>
    </xf>
    <xf numFmtId="15" fontId="23" fillId="0" borderId="5" xfId="0" applyNumberFormat="1" applyFont="1" applyBorder="1" applyAlignment="1">
      <alignment horizontal="center" vertical="center" wrapText="1"/>
    </xf>
    <xf numFmtId="0" fontId="26" fillId="0" borderId="3" xfId="12" applyFont="1" applyBorder="1" applyAlignment="1">
      <alignment vertical="center" wrapText="1"/>
    </xf>
    <xf numFmtId="0" fontId="26" fillId="0" borderId="4" xfId="12" applyFont="1" applyBorder="1" applyAlignment="1">
      <alignment vertical="center" wrapText="1"/>
    </xf>
  </cellXfs>
  <cellStyles count="13">
    <cellStyle name="Comma 2" xfId="11" xr:uid="{00000000-0005-0000-0000-000000000000}"/>
    <cellStyle name="Hyperlink" xfId="12" builtinId="8"/>
    <cellStyle name="Normal" xfId="0" builtinId="0"/>
    <cellStyle name="Normal 2" xfId="1" xr:uid="{00000000-0005-0000-0000-000003000000}"/>
    <cellStyle name="Normal 2 2" xfId="3" xr:uid="{00000000-0005-0000-0000-000004000000}"/>
    <cellStyle name="Normal 2 3" xfId="7" xr:uid="{00000000-0005-0000-0000-000005000000}"/>
    <cellStyle name="Normal 3" xfId="2" xr:uid="{00000000-0005-0000-0000-000006000000}"/>
    <cellStyle name="Normal 4" xfId="4" xr:uid="{00000000-0005-0000-0000-000007000000}"/>
    <cellStyle name="Normal 5" xfId="5" xr:uid="{00000000-0005-0000-0000-000008000000}"/>
    <cellStyle name="Normal 6" xfId="6" xr:uid="{00000000-0005-0000-0000-000009000000}"/>
    <cellStyle name="Normal 6 2" xfId="9" xr:uid="{00000000-0005-0000-0000-00000A000000}"/>
    <cellStyle name="Normal 7" xfId="8" xr:uid="{00000000-0005-0000-0000-00000B000000}"/>
    <cellStyle name="Normal 8" xfId="10" xr:uid="{00000000-0005-0000-0000-00000C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19050</xdr:rowOff>
    </xdr:from>
    <xdr:to>
      <xdr:col>1</xdr:col>
      <xdr:colOff>1079500</xdr:colOff>
      <xdr:row>6</xdr:row>
      <xdr:rowOff>171450</xdr:rowOff>
    </xdr:to>
    <xdr:pic>
      <xdr:nvPicPr>
        <xdr:cNvPr id="3" name="Picture 2" descr="MELKBOK LOGO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9050"/>
          <a:ext cx="1600200" cy="1257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er/My%20Documents/2013excel/Diesel13/Diesel1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896ACT\896ACTH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896ACT/896ACTH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297BUD\297BUDH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297BUD/297BUDH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kvdm sale"/>
      <sheetName val="gun"/>
      <sheetName val="VAT ELEVATION"/>
      <sheetName val="fuel tank sort"/>
      <sheetName val="Fuel %"/>
      <sheetName val="fuel tank"/>
      <sheetName val="DIESEL"/>
      <sheetName val="Diesel Control"/>
      <sheetName val="BOPLAAS"/>
      <sheetName val="INVOICE"/>
      <sheetName val="invoiceELEVATION"/>
      <sheetName val="invoiceELEVATION rent"/>
      <sheetName val="INVOICE THABILE"/>
      <sheetName val="jnl"/>
      <sheetName val="lables"/>
      <sheetName val="vehicles"/>
      <sheetName val="log"/>
      <sheetName val="log book"/>
      <sheetName val="Diesel13"/>
    </sheetNames>
    <definedNames>
      <definedName name="a" refersTo="#REF!"/>
      <definedName name="ab" refersTo="#REF!"/>
      <definedName name="abs" refersTo="#REF!"/>
      <definedName name="as" refersTo="#REF!"/>
      <definedName name="e" refersTo="#REF!"/>
      <definedName name="i" refersTo="#REF!"/>
      <definedName name="iefg" refersTo="#REF!"/>
      <definedName name="ieplp" refersTo="#REF!"/>
      <definedName name="ieplt" refersTo="#REF!"/>
      <definedName name="iigs" refersTo="#REF!"/>
      <definedName name="iipla" refersTo="#REF!"/>
      <definedName name="iiplf" refersTo="#REF!"/>
      <definedName name="iiplh" refersTo="#REF!"/>
      <definedName name="iiplp" refersTo="#REF!"/>
      <definedName name="iiplr" refersTo="#REF!"/>
      <definedName name="iiplt" refersTo="#REF!"/>
      <definedName name="iitplr" refersTo="#REF!"/>
      <definedName name="imay" refersTo="#REF!"/>
      <definedName name="o" refersTo="#REF!"/>
      <definedName name="q" refersTo="#REF!"/>
      <definedName name="t" refersTo="#REF!"/>
      <definedName name="u" refersTo="#REF!"/>
      <definedName name="w" refersTo="#REF!"/>
      <definedName name="y" refersTo="#REF!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unctions"/>
      <sheetName val="Parameters"/>
      <sheetName val="Whatsnew"/>
      <sheetName val="INDEX"/>
      <sheetName val="IOPENPREV"/>
      <sheetName val="IOPEN"/>
      <sheetName val="ServareasB"/>
      <sheetName val="ServareasA"/>
      <sheetName val="IHYPB"/>
      <sheetName val="IHYP"/>
    </sheetNames>
    <sheetDataSet>
      <sheetData sheetId="0"/>
      <sheetData sheetId="1">
        <row r="5">
          <cell r="A5">
            <v>1996</v>
          </cell>
        </row>
        <row r="6">
          <cell r="A6">
            <v>35288</v>
          </cell>
        </row>
        <row r="7">
          <cell r="A7" t="str">
            <v>31</v>
          </cell>
        </row>
        <row r="10">
          <cell r="A10" t="str">
            <v>29</v>
          </cell>
        </row>
        <row r="11">
          <cell r="A11">
            <v>2</v>
          </cell>
        </row>
        <row r="12">
          <cell r="A12" t="str">
            <v>31 August 1996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unctions"/>
      <sheetName val="Parameters"/>
      <sheetName val="Whatsnew"/>
      <sheetName val="INDEX"/>
      <sheetName val="IOPENPREV"/>
      <sheetName val="IOPEN"/>
      <sheetName val="ServareasB"/>
      <sheetName val="ServareasA"/>
      <sheetName val="IHYPB"/>
      <sheetName val="IHYP"/>
    </sheetNames>
    <sheetDataSet>
      <sheetData sheetId="0"/>
      <sheetData sheetId="1">
        <row r="5">
          <cell r="A5">
            <v>1996</v>
          </cell>
        </row>
        <row r="6">
          <cell r="A6">
            <v>35288</v>
          </cell>
        </row>
        <row r="7">
          <cell r="A7" t="str">
            <v>31</v>
          </cell>
        </row>
        <row r="10">
          <cell r="A10" t="str">
            <v>29</v>
          </cell>
        </row>
        <row r="11">
          <cell r="A11">
            <v>2</v>
          </cell>
        </row>
        <row r="12">
          <cell r="A12" t="str">
            <v>31 August 1996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dule1"/>
      <sheetName val="IHYPA"/>
      <sheetName val="IFRM"/>
    </sheetNames>
    <sheetDataSet>
      <sheetData sheetId="0" refreshError="1"/>
      <sheetData sheetId="1" refreshError="1"/>
      <sheetData sheetId="2" refreshError="1">
        <row r="1">
          <cell r="U1">
            <v>1</v>
          </cell>
          <cell r="V1" t="str">
            <v>January</v>
          </cell>
          <cell r="AC1">
            <v>31</v>
          </cell>
          <cell r="AD1">
            <v>153</v>
          </cell>
        </row>
        <row r="2">
          <cell r="U2">
            <v>2</v>
          </cell>
          <cell r="V2" t="str">
            <v>February</v>
          </cell>
          <cell r="W2" t="str">
            <v>September</v>
          </cell>
          <cell r="X2" t="str">
            <v>October</v>
          </cell>
          <cell r="Y2" t="str">
            <v>November</v>
          </cell>
          <cell r="Z2" t="str">
            <v>December</v>
          </cell>
          <cell r="AA2" t="str">
            <v>January</v>
          </cell>
          <cell r="AB2" t="str">
            <v>February</v>
          </cell>
          <cell r="AC2">
            <v>28</v>
          </cell>
          <cell r="AD2">
            <v>181</v>
          </cell>
        </row>
        <row r="3">
          <cell r="U3">
            <v>3</v>
          </cell>
          <cell r="V3" t="str">
            <v>March</v>
          </cell>
          <cell r="AC3">
            <v>31</v>
          </cell>
          <cell r="AD3">
            <v>31</v>
          </cell>
        </row>
        <row r="4">
          <cell r="U4">
            <v>4</v>
          </cell>
          <cell r="V4" t="str">
            <v>April</v>
          </cell>
          <cell r="AC4">
            <v>30</v>
          </cell>
          <cell r="AD4">
            <v>61</v>
          </cell>
        </row>
        <row r="5">
          <cell r="U5">
            <v>5</v>
          </cell>
          <cell r="V5" t="str">
            <v>May</v>
          </cell>
          <cell r="AC5">
            <v>31</v>
          </cell>
          <cell r="AD5">
            <v>92</v>
          </cell>
        </row>
        <row r="6">
          <cell r="U6">
            <v>6</v>
          </cell>
          <cell r="V6" t="str">
            <v>June</v>
          </cell>
          <cell r="AC6">
            <v>30</v>
          </cell>
          <cell r="AD6">
            <v>122</v>
          </cell>
        </row>
        <row r="7">
          <cell r="U7">
            <v>7</v>
          </cell>
          <cell r="V7" t="str">
            <v>July</v>
          </cell>
          <cell r="AC7">
            <v>31</v>
          </cell>
          <cell r="AD7">
            <v>153</v>
          </cell>
        </row>
        <row r="8">
          <cell r="U8">
            <v>8</v>
          </cell>
          <cell r="V8" t="str">
            <v>August</v>
          </cell>
          <cell r="W8" t="str">
            <v>March</v>
          </cell>
          <cell r="X8" t="str">
            <v>April</v>
          </cell>
          <cell r="Y8" t="str">
            <v>May</v>
          </cell>
          <cell r="Z8" t="str">
            <v>June</v>
          </cell>
          <cell r="AA8" t="str">
            <v>July</v>
          </cell>
          <cell r="AB8" t="str">
            <v>August</v>
          </cell>
          <cell r="AC8">
            <v>31</v>
          </cell>
          <cell r="AD8">
            <v>184</v>
          </cell>
        </row>
        <row r="9">
          <cell r="U9">
            <v>9</v>
          </cell>
          <cell r="V9" t="str">
            <v>September</v>
          </cell>
          <cell r="AC9">
            <v>30</v>
          </cell>
          <cell r="AD9">
            <v>30</v>
          </cell>
        </row>
        <row r="10">
          <cell r="U10">
            <v>10</v>
          </cell>
          <cell r="V10" t="str">
            <v>October</v>
          </cell>
          <cell r="AC10">
            <v>31</v>
          </cell>
          <cell r="AD10">
            <v>61</v>
          </cell>
        </row>
        <row r="11">
          <cell r="U11">
            <v>11</v>
          </cell>
          <cell r="V11" t="str">
            <v>November</v>
          </cell>
          <cell r="AC11">
            <v>30</v>
          </cell>
          <cell r="AD11">
            <v>91</v>
          </cell>
        </row>
        <row r="12">
          <cell r="U12">
            <v>12</v>
          </cell>
          <cell r="V12" t="str">
            <v>December</v>
          </cell>
          <cell r="AC12">
            <v>31</v>
          </cell>
          <cell r="AD12">
            <v>122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dule1"/>
      <sheetName val="IHYPA"/>
      <sheetName val="IFRM"/>
    </sheetNames>
    <sheetDataSet>
      <sheetData sheetId="0" refreshError="1"/>
      <sheetData sheetId="1" refreshError="1"/>
      <sheetData sheetId="2" refreshError="1">
        <row r="1">
          <cell r="U1">
            <v>1</v>
          </cell>
          <cell r="V1" t="str">
            <v>January</v>
          </cell>
          <cell r="AC1">
            <v>31</v>
          </cell>
          <cell r="AD1">
            <v>153</v>
          </cell>
        </row>
        <row r="2">
          <cell r="U2">
            <v>2</v>
          </cell>
          <cell r="V2" t="str">
            <v>February</v>
          </cell>
          <cell r="W2" t="str">
            <v>September</v>
          </cell>
          <cell r="X2" t="str">
            <v>October</v>
          </cell>
          <cell r="Y2" t="str">
            <v>November</v>
          </cell>
          <cell r="Z2" t="str">
            <v>December</v>
          </cell>
          <cell r="AA2" t="str">
            <v>January</v>
          </cell>
          <cell r="AB2" t="str">
            <v>February</v>
          </cell>
          <cell r="AC2">
            <v>28</v>
          </cell>
          <cell r="AD2">
            <v>181</v>
          </cell>
        </row>
        <row r="3">
          <cell r="U3">
            <v>3</v>
          </cell>
          <cell r="V3" t="str">
            <v>March</v>
          </cell>
          <cell r="AC3">
            <v>31</v>
          </cell>
          <cell r="AD3">
            <v>31</v>
          </cell>
        </row>
        <row r="4">
          <cell r="U4">
            <v>4</v>
          </cell>
          <cell r="V4" t="str">
            <v>April</v>
          </cell>
          <cell r="AC4">
            <v>30</v>
          </cell>
          <cell r="AD4">
            <v>61</v>
          </cell>
        </row>
        <row r="5">
          <cell r="U5">
            <v>5</v>
          </cell>
          <cell r="V5" t="str">
            <v>May</v>
          </cell>
          <cell r="AC5">
            <v>31</v>
          </cell>
          <cell r="AD5">
            <v>92</v>
          </cell>
        </row>
        <row r="6">
          <cell r="U6">
            <v>6</v>
          </cell>
          <cell r="V6" t="str">
            <v>June</v>
          </cell>
          <cell r="AC6">
            <v>30</v>
          </cell>
          <cell r="AD6">
            <v>122</v>
          </cell>
        </row>
        <row r="7">
          <cell r="U7">
            <v>7</v>
          </cell>
          <cell r="V7" t="str">
            <v>July</v>
          </cell>
          <cell r="AC7">
            <v>31</v>
          </cell>
          <cell r="AD7">
            <v>153</v>
          </cell>
        </row>
        <row r="8">
          <cell r="U8">
            <v>8</v>
          </cell>
          <cell r="V8" t="str">
            <v>August</v>
          </cell>
          <cell r="W8" t="str">
            <v>March</v>
          </cell>
          <cell r="X8" t="str">
            <v>April</v>
          </cell>
          <cell r="Y8" t="str">
            <v>May</v>
          </cell>
          <cell r="Z8" t="str">
            <v>June</v>
          </cell>
          <cell r="AA8" t="str">
            <v>July</v>
          </cell>
          <cell r="AB8" t="str">
            <v>August</v>
          </cell>
          <cell r="AC8">
            <v>31</v>
          </cell>
          <cell r="AD8">
            <v>184</v>
          </cell>
        </row>
        <row r="9">
          <cell r="U9">
            <v>9</v>
          </cell>
          <cell r="V9" t="str">
            <v>September</v>
          </cell>
          <cell r="AC9">
            <v>30</v>
          </cell>
          <cell r="AD9">
            <v>30</v>
          </cell>
        </row>
        <row r="10">
          <cell r="U10">
            <v>10</v>
          </cell>
          <cell r="V10" t="str">
            <v>October</v>
          </cell>
          <cell r="AC10">
            <v>31</v>
          </cell>
          <cell r="AD10">
            <v>61</v>
          </cell>
        </row>
        <row r="11">
          <cell r="U11">
            <v>11</v>
          </cell>
          <cell r="V11" t="str">
            <v>November</v>
          </cell>
          <cell r="AC11">
            <v>30</v>
          </cell>
          <cell r="AD11">
            <v>91</v>
          </cell>
        </row>
        <row r="12">
          <cell r="U12">
            <v>12</v>
          </cell>
          <cell r="V12" t="str">
            <v>December</v>
          </cell>
          <cell r="AC12">
            <v>31</v>
          </cell>
          <cell r="AD12">
            <v>122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mailto:mpos@hantam.co.za" TargetMode="External"/><Relationship Id="rId13" Type="http://schemas.openxmlformats.org/officeDocument/2006/relationships/hyperlink" Target="mailto:admin@anysbos.co.za" TargetMode="External"/><Relationship Id="rId3" Type="http://schemas.openxmlformats.org/officeDocument/2006/relationships/hyperlink" Target="mailto:joubert@limpopodairy.co.za" TargetMode="External"/><Relationship Id="rId7" Type="http://schemas.openxmlformats.org/officeDocument/2006/relationships/hyperlink" Target="mailto:info@anysbos.co.za" TargetMode="External"/><Relationship Id="rId12" Type="http://schemas.openxmlformats.org/officeDocument/2006/relationships/hyperlink" Target="mailto:walkraalpvs@gmail.com" TargetMode="External"/><Relationship Id="rId2" Type="http://schemas.openxmlformats.org/officeDocument/2006/relationships/hyperlink" Target="mailto:curlewiswalter@yahoo.com" TargetMode="External"/><Relationship Id="rId1" Type="http://schemas.openxmlformats.org/officeDocument/2006/relationships/hyperlink" Target="mailto:lattaia@webmail.co.za" TargetMode="External"/><Relationship Id="rId6" Type="http://schemas.openxmlformats.org/officeDocument/2006/relationships/hyperlink" Target="mailto:lstapelberg123@gmail.com" TargetMode="External"/><Relationship Id="rId11" Type="http://schemas.openxmlformats.org/officeDocument/2006/relationships/hyperlink" Target="mailto:anjevandyk@outlook.com" TargetMode="External"/><Relationship Id="rId5" Type="http://schemas.openxmlformats.org/officeDocument/2006/relationships/hyperlink" Target="mailto:sivuyiled@gmail.com" TargetMode="External"/><Relationship Id="rId15" Type="http://schemas.openxmlformats.org/officeDocument/2006/relationships/drawing" Target="../drawings/drawing1.xml"/><Relationship Id="rId10" Type="http://schemas.openxmlformats.org/officeDocument/2006/relationships/hyperlink" Target="mailto:kci@yebo.co.za" TargetMode="External"/><Relationship Id="rId4" Type="http://schemas.openxmlformats.org/officeDocument/2006/relationships/hyperlink" Target="http://www.milkgoats.co.za/" TargetMode="External"/><Relationship Id="rId9" Type="http://schemas.openxmlformats.org/officeDocument/2006/relationships/hyperlink" Target="mailto:kerrland@live.co.za" TargetMode="External"/><Relationship Id="rId14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mailto:lattaia@webmail.co.za;" TargetMode="External"/><Relationship Id="rId13" Type="http://schemas.openxmlformats.org/officeDocument/2006/relationships/hyperlink" Target="mailto:chateautourell@gmail.com;" TargetMode="External"/><Relationship Id="rId3" Type="http://schemas.openxmlformats.org/officeDocument/2006/relationships/hyperlink" Target="mailto:curlewiswalter@yahoo.com;" TargetMode="External"/><Relationship Id="rId7" Type="http://schemas.openxmlformats.org/officeDocument/2006/relationships/hyperlink" Target="mailto:mary@netmobile.co.za%20;" TargetMode="External"/><Relationship Id="rId12" Type="http://schemas.openxmlformats.org/officeDocument/2006/relationships/hyperlink" Target="mailto:mpos@hantam.co.za;" TargetMode="External"/><Relationship Id="rId2" Type="http://schemas.openxmlformats.org/officeDocument/2006/relationships/hyperlink" Target="mailto:chardela@intekom.co.za;" TargetMode="External"/><Relationship Id="rId16" Type="http://schemas.openxmlformats.org/officeDocument/2006/relationships/hyperlink" Target="mailto:goats@limpopodairy.co.za;" TargetMode="External"/><Relationship Id="rId1" Type="http://schemas.openxmlformats.org/officeDocument/2006/relationships/hyperlink" Target="mailto:info@anysbos.co.za%20;" TargetMode="External"/><Relationship Id="rId6" Type="http://schemas.openxmlformats.org/officeDocument/2006/relationships/hyperlink" Target="mailto:joubert@limpopodairy.co.za;" TargetMode="External"/><Relationship Id="rId11" Type="http://schemas.openxmlformats.org/officeDocument/2006/relationships/hyperlink" Target="mailto:hannesvdwesthuizen@gmail.com%20;" TargetMode="External"/><Relationship Id="rId5" Type="http://schemas.openxmlformats.org/officeDocument/2006/relationships/hyperlink" Target="mailto:janwiese@mweb.co.za;" TargetMode="External"/><Relationship Id="rId15" Type="http://schemas.openxmlformats.org/officeDocument/2006/relationships/hyperlink" Target="mailto:accounts@thabilelodge.co.za;" TargetMode="External"/><Relationship Id="rId10" Type="http://schemas.openxmlformats.org/officeDocument/2006/relationships/hyperlink" Target="mailto:kenny@thabilelodge.co.za;" TargetMode="External"/><Relationship Id="rId4" Type="http://schemas.openxmlformats.org/officeDocument/2006/relationships/hyperlink" Target="mailto:sivuyiled@gmail.com%20;" TargetMode="External"/><Relationship Id="rId9" Type="http://schemas.openxmlformats.org/officeDocument/2006/relationships/hyperlink" Target="mailto:esteevanaswegen@gmail.com;" TargetMode="External"/><Relationship Id="rId14" Type="http://schemas.openxmlformats.org/officeDocument/2006/relationships/hyperlink" Target="mailto:janroevniekerk@gmail.com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61"/>
  <sheetViews>
    <sheetView workbookViewId="0">
      <pane xSplit="4" ySplit="3" topLeftCell="E37" activePane="bottomRight" state="frozen"/>
      <selection activeCell="E41" sqref="E41"/>
      <selection pane="topRight" activeCell="E41" sqref="E41"/>
      <selection pane="bottomLeft" activeCell="E41" sqref="E41"/>
      <selection pane="bottomRight" activeCell="D1" sqref="D1:G51"/>
    </sheetView>
  </sheetViews>
  <sheetFormatPr defaultRowHeight="15" x14ac:dyDescent="0.25"/>
  <cols>
    <col min="3" max="3" width="11.28515625" customWidth="1"/>
    <col min="4" max="4" width="32.5703125" customWidth="1"/>
    <col min="5" max="7" width="9.28515625" style="2" customWidth="1"/>
    <col min="8" max="8" width="8.7109375" style="2"/>
  </cols>
  <sheetData>
    <row r="1" spans="1:11" ht="18.600000000000001" x14ac:dyDescent="0.45">
      <c r="A1" s="1"/>
      <c r="B1" s="1"/>
      <c r="D1" s="11" t="s">
        <v>112</v>
      </c>
    </row>
    <row r="2" spans="1:11" ht="14.45" x14ac:dyDescent="0.35">
      <c r="A2" s="1"/>
      <c r="B2" s="1"/>
      <c r="D2" s="1" t="s">
        <v>133</v>
      </c>
    </row>
    <row r="3" spans="1:11" ht="14.45" x14ac:dyDescent="0.35">
      <c r="A3" s="1" t="s">
        <v>111</v>
      </c>
      <c r="B3" s="1" t="s">
        <v>134</v>
      </c>
      <c r="C3" s="1" t="s">
        <v>0</v>
      </c>
      <c r="D3" s="1"/>
      <c r="E3" s="12" t="s">
        <v>28</v>
      </c>
      <c r="F3" s="12" t="s">
        <v>29</v>
      </c>
      <c r="G3" s="12" t="s">
        <v>30</v>
      </c>
      <c r="H3" s="3"/>
    </row>
    <row r="4" spans="1:11" ht="14.45" x14ac:dyDescent="0.35">
      <c r="A4" s="2"/>
      <c r="B4" s="2"/>
      <c r="C4" s="1"/>
      <c r="D4" s="5" t="s">
        <v>33</v>
      </c>
      <c r="E4" s="3"/>
      <c r="F4" s="3"/>
      <c r="G4" s="3"/>
    </row>
    <row r="5" spans="1:11" ht="14.45" x14ac:dyDescent="0.35">
      <c r="A5" s="2"/>
      <c r="B5" s="2"/>
      <c r="C5" s="17"/>
      <c r="D5" s="17"/>
      <c r="E5" s="3"/>
      <c r="F5" s="3"/>
      <c r="G5" s="3"/>
    </row>
    <row r="6" spans="1:11" ht="14.45" x14ac:dyDescent="0.35">
      <c r="A6" s="19">
        <v>217105</v>
      </c>
      <c r="B6" s="19">
        <v>217105</v>
      </c>
      <c r="C6" t="s">
        <v>55</v>
      </c>
      <c r="D6" s="18" t="s">
        <v>99</v>
      </c>
      <c r="E6" s="19">
        <v>217105</v>
      </c>
      <c r="F6" s="3">
        <f>199010.12+69349</f>
        <v>268359.12</v>
      </c>
      <c r="G6" s="3">
        <f t="shared" ref="G6:G21" si="0">SUM(F6-E6)</f>
        <v>51254.119999999995</v>
      </c>
      <c r="H6"/>
      <c r="I6" s="18"/>
      <c r="J6" s="19"/>
      <c r="K6" s="19"/>
    </row>
    <row r="7" spans="1:11" ht="14.45" x14ac:dyDescent="0.35">
      <c r="A7" s="19"/>
      <c r="B7" s="19"/>
      <c r="C7" t="s">
        <v>56</v>
      </c>
      <c r="D7" s="18" t="s">
        <v>44</v>
      </c>
      <c r="E7" s="19"/>
      <c r="F7" s="3">
        <f>287900-30000-38000-219900</f>
        <v>0</v>
      </c>
      <c r="G7" s="3">
        <f t="shared" si="0"/>
        <v>0</v>
      </c>
      <c r="H7"/>
      <c r="I7" s="18"/>
      <c r="J7" s="19"/>
      <c r="K7" s="19"/>
    </row>
    <row r="8" spans="1:11" ht="14.45" x14ac:dyDescent="0.35">
      <c r="A8" s="19">
        <v>35000</v>
      </c>
      <c r="B8" s="19">
        <v>35000</v>
      </c>
      <c r="C8" t="s">
        <v>83</v>
      </c>
      <c r="D8" s="18" t="s">
        <v>78</v>
      </c>
      <c r="E8" s="19">
        <v>35000</v>
      </c>
      <c r="F8" s="3">
        <v>39845.379999999997</v>
      </c>
      <c r="G8" s="3">
        <f t="shared" si="0"/>
        <v>4845.3799999999974</v>
      </c>
      <c r="H8"/>
      <c r="I8" s="18"/>
      <c r="J8" s="19"/>
      <c r="K8" s="19"/>
    </row>
    <row r="9" spans="1:11" ht="14.45" x14ac:dyDescent="0.35">
      <c r="A9" s="19">
        <v>34000</v>
      </c>
      <c r="B9" s="19">
        <v>34000</v>
      </c>
      <c r="C9" t="s">
        <v>57</v>
      </c>
      <c r="D9" s="18" t="s">
        <v>100</v>
      </c>
      <c r="E9" s="19">
        <v>34000</v>
      </c>
      <c r="F9" s="3">
        <v>47809.9</v>
      </c>
      <c r="G9" s="3">
        <f t="shared" si="0"/>
        <v>13809.900000000001</v>
      </c>
      <c r="H9"/>
      <c r="I9" s="18"/>
      <c r="J9" s="19"/>
      <c r="K9" s="19"/>
    </row>
    <row r="10" spans="1:11" ht="14.45" x14ac:dyDescent="0.35">
      <c r="A10" s="19">
        <v>26000</v>
      </c>
      <c r="B10" s="19">
        <v>26000</v>
      </c>
      <c r="C10" t="s">
        <v>101</v>
      </c>
      <c r="D10" s="18" t="s">
        <v>102</v>
      </c>
      <c r="E10" s="19">
        <v>26000</v>
      </c>
      <c r="F10" s="3">
        <v>44763.4</v>
      </c>
      <c r="G10" s="3">
        <f t="shared" si="0"/>
        <v>18763.400000000001</v>
      </c>
      <c r="H10"/>
      <c r="I10" s="18"/>
      <c r="J10" s="19"/>
      <c r="K10" s="19"/>
    </row>
    <row r="11" spans="1:11" ht="14.45" x14ac:dyDescent="0.35">
      <c r="A11" s="19">
        <v>430000</v>
      </c>
      <c r="B11" s="19">
        <v>430000</v>
      </c>
      <c r="C11" t="s">
        <v>2</v>
      </c>
      <c r="D11" s="18" t="s">
        <v>103</v>
      </c>
      <c r="E11" s="19">
        <v>430000</v>
      </c>
      <c r="F11" s="3">
        <f>378976.49+121838.73+2105.28</f>
        <v>502920.5</v>
      </c>
      <c r="G11" s="3">
        <f t="shared" si="0"/>
        <v>72920.5</v>
      </c>
      <c r="H11"/>
      <c r="I11" s="18"/>
      <c r="J11" s="19"/>
      <c r="K11" s="19"/>
    </row>
    <row r="12" spans="1:11" ht="14.45" x14ac:dyDescent="0.35">
      <c r="A12" s="19">
        <v>155000</v>
      </c>
      <c r="B12" s="19">
        <v>155000</v>
      </c>
      <c r="C12" t="s">
        <v>3</v>
      </c>
      <c r="D12" s="18" t="s">
        <v>42</v>
      </c>
      <c r="E12" s="19">
        <v>155000</v>
      </c>
      <c r="F12" s="3">
        <f>152431.87+55656.35</f>
        <v>208088.22</v>
      </c>
      <c r="G12" s="3">
        <f t="shared" si="0"/>
        <v>53088.22</v>
      </c>
      <c r="H12"/>
      <c r="I12" s="18"/>
      <c r="J12" s="19"/>
      <c r="K12" s="19"/>
    </row>
    <row r="13" spans="1:11" ht="14.45" x14ac:dyDescent="0.35">
      <c r="A13" s="19">
        <v>14000</v>
      </c>
      <c r="B13" s="19">
        <v>14000</v>
      </c>
      <c r="C13" t="s">
        <v>4</v>
      </c>
      <c r="D13" s="18" t="s">
        <v>113</v>
      </c>
      <c r="E13" s="19">
        <v>14000</v>
      </c>
      <c r="F13" s="3">
        <v>4742.1400000000003</v>
      </c>
      <c r="G13" s="3">
        <f t="shared" si="0"/>
        <v>-9257.86</v>
      </c>
      <c r="H13"/>
      <c r="I13" s="18"/>
      <c r="J13" s="19"/>
      <c r="K13" s="19"/>
    </row>
    <row r="14" spans="1:11" ht="14.45" x14ac:dyDescent="0.35">
      <c r="A14" s="19">
        <v>2000</v>
      </c>
      <c r="B14" s="19">
        <v>2000</v>
      </c>
      <c r="C14" t="s">
        <v>104</v>
      </c>
      <c r="D14" s="18" t="s">
        <v>129</v>
      </c>
      <c r="E14" s="19">
        <v>2000</v>
      </c>
      <c r="F14" s="3">
        <v>701.76</v>
      </c>
      <c r="G14" s="3">
        <f t="shared" si="0"/>
        <v>-1298.24</v>
      </c>
      <c r="H14"/>
      <c r="I14" s="18"/>
      <c r="J14" s="19"/>
      <c r="K14" s="19"/>
    </row>
    <row r="15" spans="1:11" ht="14.45" x14ac:dyDescent="0.35">
      <c r="A15" s="19"/>
      <c r="B15" s="19"/>
      <c r="C15" t="s">
        <v>58</v>
      </c>
      <c r="D15" s="18" t="s">
        <v>105</v>
      </c>
      <c r="E15" s="19"/>
      <c r="F15" s="3"/>
      <c r="G15" s="3">
        <f t="shared" si="0"/>
        <v>0</v>
      </c>
      <c r="H15"/>
      <c r="I15" s="18"/>
      <c r="J15" s="19"/>
      <c r="K15" s="19"/>
    </row>
    <row r="16" spans="1:11" ht="14.45" x14ac:dyDescent="0.35">
      <c r="A16" s="19">
        <v>45000</v>
      </c>
      <c r="B16" s="19">
        <v>45000</v>
      </c>
      <c r="C16" t="s">
        <v>59</v>
      </c>
      <c r="D16" s="18" t="s">
        <v>110</v>
      </c>
      <c r="E16" s="19">
        <v>45000</v>
      </c>
      <c r="F16" s="3">
        <v>35557.06</v>
      </c>
      <c r="G16" s="3">
        <f t="shared" si="0"/>
        <v>-9442.9400000000023</v>
      </c>
      <c r="H16"/>
      <c r="I16" s="18"/>
      <c r="J16" s="19"/>
      <c r="K16" s="19"/>
    </row>
    <row r="17" spans="1:11" ht="14.45" x14ac:dyDescent="0.35">
      <c r="A17" s="19"/>
      <c r="B17" s="19"/>
      <c r="C17" t="s">
        <v>60</v>
      </c>
      <c r="D17" s="18" t="s">
        <v>43</v>
      </c>
      <c r="E17" s="19"/>
      <c r="F17" s="3">
        <v>877.2</v>
      </c>
      <c r="G17" s="3">
        <f t="shared" si="0"/>
        <v>877.2</v>
      </c>
      <c r="H17"/>
      <c r="I17" s="18"/>
      <c r="J17" s="19"/>
      <c r="K17" s="19"/>
    </row>
    <row r="18" spans="1:11" ht="14.45" x14ac:dyDescent="0.35">
      <c r="A18" s="19"/>
      <c r="B18" s="19"/>
      <c r="C18" t="s">
        <v>130</v>
      </c>
      <c r="D18" s="18" t="s">
        <v>131</v>
      </c>
      <c r="E18" s="19"/>
      <c r="F18" s="3">
        <v>30227</v>
      </c>
      <c r="G18" s="3">
        <f t="shared" si="0"/>
        <v>30227</v>
      </c>
      <c r="H18"/>
      <c r="I18" s="18"/>
      <c r="J18" s="19"/>
      <c r="K18" s="19"/>
    </row>
    <row r="19" spans="1:11" ht="14.45" x14ac:dyDescent="0.35">
      <c r="A19" s="19">
        <v>16000</v>
      </c>
      <c r="B19" s="19">
        <v>16000</v>
      </c>
      <c r="C19" t="s">
        <v>61</v>
      </c>
      <c r="D19" s="18" t="s">
        <v>62</v>
      </c>
      <c r="E19" s="19">
        <v>16000</v>
      </c>
      <c r="F19" s="3">
        <v>3277.6</v>
      </c>
      <c r="G19" s="3">
        <f t="shared" si="0"/>
        <v>-12722.4</v>
      </c>
      <c r="H19"/>
      <c r="I19" s="18"/>
      <c r="J19" s="19"/>
      <c r="K19" s="19"/>
    </row>
    <row r="20" spans="1:11" ht="14.45" x14ac:dyDescent="0.35">
      <c r="A20" s="19">
        <v>34000</v>
      </c>
      <c r="B20" s="19">
        <v>34000</v>
      </c>
      <c r="C20" t="s">
        <v>5</v>
      </c>
      <c r="D20" s="18" t="s">
        <v>89</v>
      </c>
      <c r="E20" s="19">
        <v>34000</v>
      </c>
      <c r="F20" s="3">
        <v>34640</v>
      </c>
      <c r="G20" s="3">
        <f t="shared" si="0"/>
        <v>640</v>
      </c>
      <c r="H20"/>
      <c r="I20" s="18"/>
      <c r="J20" s="19"/>
      <c r="K20" s="19"/>
    </row>
    <row r="21" spans="1:11" ht="14.45" x14ac:dyDescent="0.35">
      <c r="A21" s="19"/>
      <c r="B21" s="2"/>
      <c r="C21" t="s">
        <v>63</v>
      </c>
      <c r="D21" s="18" t="s">
        <v>45</v>
      </c>
      <c r="F21" s="3">
        <v>-11216</v>
      </c>
      <c r="G21" s="3">
        <f t="shared" si="0"/>
        <v>-11216</v>
      </c>
      <c r="H21"/>
      <c r="I21" s="18"/>
      <c r="J21" s="3"/>
      <c r="K21" s="19"/>
    </row>
    <row r="22" spans="1:11" ht="14.45" x14ac:dyDescent="0.35">
      <c r="A22" s="2"/>
      <c r="B22" s="2"/>
      <c r="C22" s="1"/>
      <c r="D22" s="1"/>
      <c r="F22" s="3"/>
      <c r="G22" s="3"/>
      <c r="H22" s="3"/>
      <c r="J22" s="19"/>
      <c r="K22" s="19"/>
    </row>
    <row r="23" spans="1:11" ht="14.45" x14ac:dyDescent="0.35">
      <c r="A23" s="6">
        <f>SUM(A5:A22)</f>
        <v>1008105</v>
      </c>
      <c r="B23" s="6">
        <f>SUM(B5:B22)</f>
        <v>1008105</v>
      </c>
      <c r="C23" s="1"/>
      <c r="D23" s="4" t="s">
        <v>32</v>
      </c>
      <c r="E23" s="6">
        <f>SUM(E5:E22)</f>
        <v>1008105</v>
      </c>
      <c r="F23" s="6">
        <f>SUM(F5:F22)</f>
        <v>1210593.28</v>
      </c>
      <c r="G23" s="6">
        <f>SUM(G5:G22)</f>
        <v>202488.28</v>
      </c>
      <c r="H23" s="6">
        <f>SUM(H5:H22)</f>
        <v>0</v>
      </c>
      <c r="J23" s="19"/>
      <c r="K23" s="19"/>
    </row>
    <row r="24" spans="1:11" ht="14.45" x14ac:dyDescent="0.35">
      <c r="A24" s="2"/>
      <c r="B24" s="2"/>
      <c r="C24" s="1"/>
      <c r="D24" s="1"/>
      <c r="E24" s="3"/>
      <c r="F24" s="3"/>
      <c r="G24" s="3"/>
      <c r="H24" s="3"/>
      <c r="J24" s="19"/>
      <c r="K24" s="19"/>
    </row>
    <row r="25" spans="1:11" ht="14.45" x14ac:dyDescent="0.35">
      <c r="A25" s="2"/>
      <c r="B25" s="2"/>
      <c r="C25" s="1"/>
      <c r="D25" s="5" t="s">
        <v>31</v>
      </c>
      <c r="E25" s="3"/>
      <c r="F25" s="3"/>
      <c r="G25" s="3"/>
      <c r="H25" s="3"/>
      <c r="J25" s="19"/>
      <c r="K25" s="19"/>
    </row>
    <row r="26" spans="1:11" ht="14.45" x14ac:dyDescent="0.35">
      <c r="A26" s="19"/>
      <c r="B26" s="2"/>
      <c r="C26" t="s">
        <v>106</v>
      </c>
      <c r="D26" s="18" t="s">
        <v>6</v>
      </c>
      <c r="F26" s="3"/>
      <c r="G26" s="3">
        <f t="shared" ref="G26:G47" si="1">SUM(F26-E26)</f>
        <v>0</v>
      </c>
      <c r="H26"/>
      <c r="I26" s="18"/>
      <c r="J26" s="19"/>
      <c r="K26" s="19"/>
    </row>
    <row r="27" spans="1:11" ht="14.45" x14ac:dyDescent="0.35">
      <c r="A27" s="19">
        <v>15000</v>
      </c>
      <c r="B27" s="19">
        <v>15000</v>
      </c>
      <c r="C27" t="s">
        <v>64</v>
      </c>
      <c r="D27" s="18" t="s">
        <v>47</v>
      </c>
      <c r="E27" s="19">
        <v>15000</v>
      </c>
      <c r="F27" s="3">
        <v>27432.02</v>
      </c>
      <c r="G27" s="3">
        <f t="shared" si="1"/>
        <v>12432.02</v>
      </c>
      <c r="H27"/>
      <c r="I27" s="18"/>
      <c r="J27" s="19"/>
      <c r="K27" s="19"/>
    </row>
    <row r="28" spans="1:11" ht="14.45" x14ac:dyDescent="0.35">
      <c r="A28" s="19"/>
      <c r="B28" s="19"/>
      <c r="C28" t="s">
        <v>7</v>
      </c>
      <c r="D28" s="18" t="s">
        <v>46</v>
      </c>
      <c r="E28" s="19"/>
      <c r="F28" s="3"/>
      <c r="G28" s="3">
        <f t="shared" si="1"/>
        <v>0</v>
      </c>
      <c r="H28"/>
      <c r="I28" s="18"/>
      <c r="J28" s="19"/>
      <c r="K28" s="19"/>
    </row>
    <row r="29" spans="1:11" ht="14.45" x14ac:dyDescent="0.35">
      <c r="A29" s="19">
        <v>20000</v>
      </c>
      <c r="B29" s="19">
        <v>20000</v>
      </c>
      <c r="C29" t="s">
        <v>8</v>
      </c>
      <c r="D29" s="18" t="s">
        <v>71</v>
      </c>
      <c r="E29" s="19">
        <v>20000</v>
      </c>
      <c r="F29" s="3">
        <f>80643+27310-42017</f>
        <v>65936</v>
      </c>
      <c r="G29" s="3">
        <f t="shared" si="1"/>
        <v>45936</v>
      </c>
      <c r="H29"/>
      <c r="I29" s="18"/>
      <c r="J29" s="19"/>
      <c r="K29" s="19"/>
    </row>
    <row r="30" spans="1:11" ht="14.45" x14ac:dyDescent="0.35">
      <c r="A30" s="19">
        <v>9500</v>
      </c>
      <c r="B30" s="19">
        <v>9500</v>
      </c>
      <c r="C30" t="s">
        <v>9</v>
      </c>
      <c r="D30" s="18" t="s">
        <v>10</v>
      </c>
      <c r="E30" s="19">
        <v>9500</v>
      </c>
      <c r="F30" s="3">
        <v>8433.0300000000007</v>
      </c>
      <c r="G30" s="3">
        <f t="shared" si="1"/>
        <v>-1066.9699999999993</v>
      </c>
      <c r="H30"/>
      <c r="I30" s="18"/>
      <c r="J30" s="19"/>
      <c r="K30" s="19"/>
    </row>
    <row r="31" spans="1:11" ht="14.45" x14ac:dyDescent="0.35">
      <c r="A31" s="19">
        <v>12000</v>
      </c>
      <c r="B31" s="19">
        <v>12000</v>
      </c>
      <c r="C31" t="s">
        <v>11</v>
      </c>
      <c r="D31" s="18" t="s">
        <v>12</v>
      </c>
      <c r="E31" s="19">
        <v>12000</v>
      </c>
      <c r="F31" s="3"/>
      <c r="G31" s="3">
        <f t="shared" si="1"/>
        <v>-12000</v>
      </c>
      <c r="H31"/>
      <c r="I31" s="18"/>
      <c r="J31" s="19"/>
      <c r="K31" s="19"/>
    </row>
    <row r="32" spans="1:11" ht="14.45" x14ac:dyDescent="0.35">
      <c r="A32" s="19">
        <f>240000+120000</f>
        <v>360000</v>
      </c>
      <c r="B32" s="19">
        <f>240000+120000</f>
        <v>360000</v>
      </c>
      <c r="C32" t="s">
        <v>13</v>
      </c>
      <c r="D32" s="18" t="s">
        <v>90</v>
      </c>
      <c r="E32" s="19">
        <f>240000+120000</f>
        <v>360000</v>
      </c>
      <c r="F32" s="3">
        <f>245033.47+117600</f>
        <v>362633.47</v>
      </c>
      <c r="G32" s="3">
        <f t="shared" si="1"/>
        <v>2633.4699999999721</v>
      </c>
      <c r="H32"/>
      <c r="I32" s="18"/>
      <c r="J32" s="19"/>
      <c r="K32" s="19"/>
    </row>
    <row r="33" spans="1:11" ht="14.45" x14ac:dyDescent="0.35">
      <c r="A33" s="19">
        <v>16000</v>
      </c>
      <c r="B33" s="19">
        <v>16000</v>
      </c>
      <c r="C33" t="s">
        <v>14</v>
      </c>
      <c r="D33" s="18" t="s">
        <v>51</v>
      </c>
      <c r="E33" s="19">
        <v>16000</v>
      </c>
      <c r="F33" s="3">
        <v>12934.05</v>
      </c>
      <c r="G33" s="3">
        <f t="shared" si="1"/>
        <v>-3065.9500000000007</v>
      </c>
      <c r="H33"/>
      <c r="I33" s="18"/>
      <c r="J33" s="19"/>
      <c r="K33" s="19"/>
    </row>
    <row r="34" spans="1:11" ht="14.45" x14ac:dyDescent="0.35">
      <c r="A34" s="19">
        <v>5000</v>
      </c>
      <c r="B34" s="19">
        <v>5000</v>
      </c>
      <c r="C34" t="s">
        <v>15</v>
      </c>
      <c r="D34" s="18" t="s">
        <v>16</v>
      </c>
      <c r="E34" s="19">
        <v>5000</v>
      </c>
      <c r="F34" s="3">
        <v>14218</v>
      </c>
      <c r="G34" s="3">
        <f t="shared" si="1"/>
        <v>9218</v>
      </c>
      <c r="H34"/>
      <c r="I34" s="18"/>
      <c r="J34" s="19"/>
      <c r="K34" s="19"/>
    </row>
    <row r="35" spans="1:11" ht="14.45" x14ac:dyDescent="0.35">
      <c r="A35" s="19">
        <v>2000</v>
      </c>
      <c r="B35" s="19">
        <v>2000</v>
      </c>
      <c r="C35" t="s">
        <v>17</v>
      </c>
      <c r="D35" s="18" t="s">
        <v>49</v>
      </c>
      <c r="E35" s="19">
        <v>2000</v>
      </c>
      <c r="F35" s="3">
        <v>1754.39</v>
      </c>
      <c r="G35" s="3">
        <f t="shared" si="1"/>
        <v>-245.6099999999999</v>
      </c>
      <c r="H35"/>
      <c r="I35" s="18"/>
      <c r="J35" s="19"/>
      <c r="K35" s="19"/>
    </row>
    <row r="36" spans="1:11" ht="14.45" x14ac:dyDescent="0.35">
      <c r="A36" s="19">
        <v>12000</v>
      </c>
      <c r="B36" s="19">
        <v>12000</v>
      </c>
      <c r="C36" t="s">
        <v>18</v>
      </c>
      <c r="D36" s="18" t="s">
        <v>92</v>
      </c>
      <c r="E36" s="19">
        <v>12000</v>
      </c>
      <c r="F36" s="3">
        <v>22036.74</v>
      </c>
      <c r="G36" s="3">
        <f t="shared" si="1"/>
        <v>10036.740000000002</v>
      </c>
      <c r="H36"/>
      <c r="I36" s="18"/>
      <c r="J36" s="19"/>
      <c r="K36" s="19"/>
    </row>
    <row r="37" spans="1:11" ht="14.45" x14ac:dyDescent="0.35">
      <c r="A37" s="19">
        <v>7000</v>
      </c>
      <c r="B37" s="19">
        <v>7000</v>
      </c>
      <c r="C37" t="s">
        <v>19</v>
      </c>
      <c r="D37" s="18" t="s">
        <v>48</v>
      </c>
      <c r="E37" s="19">
        <v>7000</v>
      </c>
      <c r="F37" s="3">
        <f>14205.46+4800-12000</f>
        <v>7005.4599999999991</v>
      </c>
      <c r="G37" s="3">
        <f t="shared" si="1"/>
        <v>5.4599999999991269</v>
      </c>
      <c r="H37"/>
      <c r="I37" s="18"/>
      <c r="J37" s="19"/>
      <c r="K37" s="19"/>
    </row>
    <row r="38" spans="1:11" ht="14.45" x14ac:dyDescent="0.35">
      <c r="A38" s="19">
        <v>173320.18</v>
      </c>
      <c r="B38" s="19">
        <v>173320.18</v>
      </c>
      <c r="C38" t="s">
        <v>72</v>
      </c>
      <c r="D38" s="18" t="s">
        <v>53</v>
      </c>
      <c r="E38" s="19">
        <v>173320.18</v>
      </c>
      <c r="F38" s="3">
        <f>224837.5</f>
        <v>224837.5</v>
      </c>
      <c r="G38" s="3">
        <f t="shared" si="1"/>
        <v>51517.320000000007</v>
      </c>
      <c r="H38"/>
      <c r="I38" s="18"/>
      <c r="J38" s="19"/>
      <c r="K38" s="19"/>
    </row>
    <row r="39" spans="1:11" ht="14.45" x14ac:dyDescent="0.35">
      <c r="A39" s="19">
        <v>5000</v>
      </c>
      <c r="B39" s="19">
        <v>5000</v>
      </c>
      <c r="C39" t="s">
        <v>20</v>
      </c>
      <c r="D39" s="18" t="s">
        <v>21</v>
      </c>
      <c r="E39" s="19">
        <v>5000</v>
      </c>
      <c r="F39" s="3">
        <f>3452.25+13.82</f>
        <v>3466.07</v>
      </c>
      <c r="G39" s="3">
        <f t="shared" si="1"/>
        <v>-1533.9299999999998</v>
      </c>
      <c r="H39"/>
      <c r="I39" s="18"/>
      <c r="J39" s="19"/>
      <c r="K39" s="19"/>
    </row>
    <row r="40" spans="1:11" ht="14.45" x14ac:dyDescent="0.35">
      <c r="A40" s="19">
        <v>18000</v>
      </c>
      <c r="B40" s="19">
        <v>18000</v>
      </c>
      <c r="C40" t="s">
        <v>23</v>
      </c>
      <c r="D40" s="18" t="s">
        <v>52</v>
      </c>
      <c r="E40" s="19">
        <v>18000</v>
      </c>
      <c r="F40" s="3">
        <f>12610.69+7609.38</f>
        <v>20220.07</v>
      </c>
      <c r="G40" s="3">
        <f t="shared" si="1"/>
        <v>2220.0699999999997</v>
      </c>
      <c r="H40"/>
      <c r="I40" s="18"/>
      <c r="J40" s="19"/>
      <c r="K40" s="19"/>
    </row>
    <row r="41" spans="1:11" ht="14.45" x14ac:dyDescent="0.35">
      <c r="A41" s="19">
        <v>17000</v>
      </c>
      <c r="B41" s="19">
        <v>17000</v>
      </c>
      <c r="C41" t="s">
        <v>65</v>
      </c>
      <c r="D41" s="18" t="s">
        <v>24</v>
      </c>
      <c r="E41" s="19">
        <v>17000</v>
      </c>
      <c r="F41" s="3">
        <v>17000</v>
      </c>
      <c r="G41" s="3">
        <f t="shared" si="1"/>
        <v>0</v>
      </c>
      <c r="H41"/>
      <c r="I41" s="18"/>
      <c r="J41" s="19"/>
      <c r="K41" s="19"/>
    </row>
    <row r="42" spans="1:11" ht="14.45" x14ac:dyDescent="0.35">
      <c r="A42" s="19">
        <v>22000</v>
      </c>
      <c r="B42" s="19">
        <v>22000</v>
      </c>
      <c r="C42" t="s">
        <v>25</v>
      </c>
      <c r="D42" s="18" t="s">
        <v>54</v>
      </c>
      <c r="E42" s="19">
        <v>22000</v>
      </c>
      <c r="F42" s="3">
        <v>58829</v>
      </c>
      <c r="G42" s="3">
        <f t="shared" si="1"/>
        <v>36829</v>
      </c>
      <c r="H42"/>
      <c r="I42" s="18"/>
      <c r="J42" s="19"/>
      <c r="K42" s="19"/>
    </row>
    <row r="43" spans="1:11" ht="14.45" x14ac:dyDescent="0.35">
      <c r="A43" s="19">
        <v>6000</v>
      </c>
      <c r="B43" s="19">
        <v>6000</v>
      </c>
      <c r="C43" t="s">
        <v>132</v>
      </c>
      <c r="D43" s="18" t="s">
        <v>50</v>
      </c>
      <c r="E43" s="19">
        <v>6000</v>
      </c>
      <c r="F43" s="3">
        <f>14111.51-8174.88</f>
        <v>5936.63</v>
      </c>
      <c r="G43" s="3">
        <f t="shared" si="1"/>
        <v>-63.369999999999891</v>
      </c>
      <c r="H43"/>
      <c r="I43" s="18"/>
      <c r="J43" s="19"/>
      <c r="K43" s="19"/>
    </row>
    <row r="44" spans="1:11" ht="14.45" x14ac:dyDescent="0.35">
      <c r="A44" s="19">
        <v>36000</v>
      </c>
      <c r="B44" s="19">
        <v>36000</v>
      </c>
      <c r="C44" t="s">
        <v>66</v>
      </c>
      <c r="D44" s="18" t="s">
        <v>91</v>
      </c>
      <c r="E44" s="19">
        <v>36000</v>
      </c>
      <c r="F44" s="3">
        <v>21351.81</v>
      </c>
      <c r="G44" s="3">
        <f t="shared" si="1"/>
        <v>-14648.189999999999</v>
      </c>
      <c r="H44"/>
      <c r="I44" s="18"/>
      <c r="J44" s="19"/>
      <c r="K44" s="19"/>
    </row>
    <row r="45" spans="1:11" x14ac:dyDescent="0.25">
      <c r="A45" s="19">
        <v>130000</v>
      </c>
      <c r="B45" s="19">
        <v>130000</v>
      </c>
      <c r="C45" t="s">
        <v>67</v>
      </c>
      <c r="D45" s="18" t="s">
        <v>107</v>
      </c>
      <c r="E45" s="19">
        <v>130000</v>
      </c>
      <c r="F45" s="2">
        <f>74688.76+29602.08+69605.07+80875.83+9642.9-30000-38000</f>
        <v>196414.64</v>
      </c>
      <c r="G45" s="3">
        <f t="shared" si="1"/>
        <v>66414.640000000014</v>
      </c>
      <c r="H45"/>
      <c r="I45" s="18"/>
      <c r="J45" s="19"/>
      <c r="K45" s="19"/>
    </row>
    <row r="46" spans="1:11" x14ac:dyDescent="0.25">
      <c r="A46" s="19">
        <v>90000</v>
      </c>
      <c r="B46" s="19">
        <v>90000</v>
      </c>
      <c r="C46" t="s">
        <v>26</v>
      </c>
      <c r="D46" s="18" t="s">
        <v>79</v>
      </c>
      <c r="E46" s="19">
        <v>90000</v>
      </c>
      <c r="F46" s="3">
        <f>25089.5+22134.74+1050+24627.21+12000</f>
        <v>84901.450000000012</v>
      </c>
      <c r="G46" s="3">
        <f t="shared" si="1"/>
        <v>-5098.5499999999884</v>
      </c>
      <c r="H46"/>
      <c r="I46" s="18"/>
      <c r="J46" s="19"/>
      <c r="K46" s="19"/>
    </row>
    <row r="47" spans="1:11" x14ac:dyDescent="0.25">
      <c r="A47" s="19">
        <v>50000</v>
      </c>
      <c r="B47" s="19">
        <v>50000</v>
      </c>
      <c r="C47" t="s">
        <v>68</v>
      </c>
      <c r="D47" s="18" t="s">
        <v>108</v>
      </c>
      <c r="E47" s="19">
        <v>50000</v>
      </c>
      <c r="F47" s="2">
        <f>43617.26+8600.12</f>
        <v>52217.380000000005</v>
      </c>
      <c r="G47" s="3">
        <f t="shared" si="1"/>
        <v>2217.3800000000047</v>
      </c>
      <c r="H47"/>
      <c r="I47" s="18"/>
      <c r="J47" s="19"/>
      <c r="K47" s="19"/>
    </row>
    <row r="48" spans="1:11" x14ac:dyDescent="0.25">
      <c r="A48" s="3"/>
      <c r="B48" s="2"/>
      <c r="C48" s="1"/>
      <c r="D48" s="1"/>
      <c r="E48" s="3"/>
      <c r="G48" s="3"/>
      <c r="H48" s="3"/>
      <c r="I48" s="2"/>
    </row>
    <row r="49" spans="1:21" x14ac:dyDescent="0.25">
      <c r="A49" s="6">
        <f>SUM(A26:A48)</f>
        <v>1005820.1799999999</v>
      </c>
      <c r="B49" s="6">
        <f>SUM(B26:B48)</f>
        <v>1005820.1799999999</v>
      </c>
      <c r="C49" s="1" t="s">
        <v>1</v>
      </c>
      <c r="D49" s="4" t="s">
        <v>34</v>
      </c>
      <c r="E49" s="6">
        <f>SUM(E26:E48)</f>
        <v>1005820.1799999999</v>
      </c>
      <c r="F49" s="6">
        <f>SUM(F26:F48)</f>
        <v>1207557.71</v>
      </c>
      <c r="G49" s="6">
        <f>SUM(G26:G48)</f>
        <v>201737.53000000003</v>
      </c>
      <c r="H49" s="6"/>
      <c r="I49" s="6"/>
    </row>
    <row r="50" spans="1:21" x14ac:dyDescent="0.25">
      <c r="A50" s="3"/>
      <c r="B50" s="3"/>
      <c r="C50" s="1"/>
      <c r="D50" s="1"/>
      <c r="E50" s="3"/>
      <c r="F50" s="3"/>
      <c r="G50" s="3"/>
    </row>
    <row r="51" spans="1:21" s="7" customFormat="1" ht="15.75" x14ac:dyDescent="0.25">
      <c r="A51" s="9">
        <f>SUM(A23-A49)</f>
        <v>2284.8200000000652</v>
      </c>
      <c r="B51" s="9">
        <f>SUM(B23-B49)</f>
        <v>2284.8200000000652</v>
      </c>
      <c r="C51" s="8"/>
      <c r="D51" s="8" t="s">
        <v>35</v>
      </c>
      <c r="E51" s="9">
        <f>SUM(E23-E49)</f>
        <v>2284.8200000000652</v>
      </c>
      <c r="F51" s="9">
        <f>SUM(F23-F49)</f>
        <v>3035.5700000000652</v>
      </c>
      <c r="G51" s="9">
        <f>SUM(G23-G49)</f>
        <v>750.7499999999709</v>
      </c>
      <c r="H51" s="10"/>
    </row>
    <row r="52" spans="1:21" x14ac:dyDescent="0.25">
      <c r="A52" s="2"/>
      <c r="B52" s="2"/>
      <c r="C52" s="1"/>
      <c r="D52" s="1"/>
      <c r="E52" s="3"/>
      <c r="F52" s="3"/>
      <c r="G52" s="3"/>
    </row>
    <row r="53" spans="1:21" x14ac:dyDescent="0.25">
      <c r="A53" s="2"/>
      <c r="B53" s="2"/>
      <c r="C53" s="1"/>
      <c r="D53" s="1"/>
      <c r="E53" s="3"/>
      <c r="F53" s="3"/>
      <c r="G53" s="3"/>
    </row>
    <row r="54" spans="1:21" x14ac:dyDescent="0.25">
      <c r="A54" s="2"/>
      <c r="B54" s="2"/>
      <c r="C54" s="1"/>
      <c r="D54" s="1"/>
      <c r="E54" s="3"/>
      <c r="F54" s="3"/>
      <c r="G54" s="3"/>
    </row>
    <row r="55" spans="1:21" x14ac:dyDescent="0.25">
      <c r="A55" s="2"/>
      <c r="B55" s="2"/>
      <c r="C55" s="1"/>
      <c r="D55" s="1"/>
      <c r="E55" s="16" t="s">
        <v>135</v>
      </c>
      <c r="F55" s="16" t="s">
        <v>128</v>
      </c>
      <c r="G55" s="16" t="s">
        <v>118</v>
      </c>
      <c r="H55" s="16" t="s">
        <v>115</v>
      </c>
      <c r="I55" s="16" t="s">
        <v>114</v>
      </c>
      <c r="J55" s="16" t="s">
        <v>109</v>
      </c>
      <c r="K55" s="16" t="s">
        <v>98</v>
      </c>
      <c r="L55" s="16" t="s">
        <v>93</v>
      </c>
      <c r="M55" s="16" t="s">
        <v>87</v>
      </c>
      <c r="N55" s="16" t="s">
        <v>84</v>
      </c>
      <c r="O55" s="16" t="s">
        <v>85</v>
      </c>
      <c r="P55" s="16" t="s">
        <v>86</v>
      </c>
      <c r="Q55" s="16" t="s">
        <v>82</v>
      </c>
      <c r="R55" s="16" t="s">
        <v>81</v>
      </c>
      <c r="S55" s="16" t="s">
        <v>80</v>
      </c>
      <c r="T55" s="16" t="s">
        <v>74</v>
      </c>
      <c r="U55" s="16" t="s">
        <v>75</v>
      </c>
    </row>
    <row r="56" spans="1:21" x14ac:dyDescent="0.25">
      <c r="A56" s="2"/>
      <c r="B56" s="2"/>
      <c r="C56" s="1" t="s">
        <v>27</v>
      </c>
      <c r="D56" s="1" t="s">
        <v>94</v>
      </c>
      <c r="E56" s="3">
        <v>484330.43</v>
      </c>
      <c r="F56" s="3">
        <v>435703.35</v>
      </c>
      <c r="G56" s="3">
        <v>520361.5</v>
      </c>
      <c r="H56" s="3">
        <v>430659.92</v>
      </c>
      <c r="I56" s="3">
        <v>61725.66</v>
      </c>
      <c r="J56" s="3">
        <v>635571.30000000005</v>
      </c>
      <c r="K56" s="3">
        <v>79322.679999999993</v>
      </c>
      <c r="L56" s="3">
        <v>56443.89</v>
      </c>
      <c r="M56" s="3">
        <v>185353.25</v>
      </c>
      <c r="N56" s="3">
        <v>131686.69</v>
      </c>
      <c r="O56" s="3">
        <v>108845.41</v>
      </c>
      <c r="P56" s="3">
        <v>103261.64</v>
      </c>
      <c r="Q56" s="3">
        <v>175085.75</v>
      </c>
      <c r="R56" s="3">
        <v>94342.75</v>
      </c>
      <c r="S56" s="3">
        <v>164454.89000000001</v>
      </c>
      <c r="T56" s="3">
        <v>219179.82</v>
      </c>
      <c r="U56" s="3">
        <v>242275.59</v>
      </c>
    </row>
    <row r="57" spans="1:21" x14ac:dyDescent="0.25">
      <c r="A57" s="2"/>
      <c r="B57" s="2"/>
      <c r="C57" s="1" t="s">
        <v>116</v>
      </c>
      <c r="D57" s="1" t="s">
        <v>117</v>
      </c>
      <c r="E57" s="3">
        <v>400000</v>
      </c>
      <c r="F57" s="3">
        <v>400000</v>
      </c>
      <c r="G57" s="3">
        <v>400000</v>
      </c>
      <c r="H57" s="3">
        <v>400000</v>
      </c>
      <c r="I57" s="3">
        <v>400000</v>
      </c>
      <c r="J57" s="3">
        <v>0</v>
      </c>
      <c r="K57" s="3">
        <v>2004.15</v>
      </c>
      <c r="L57" s="3">
        <v>3541</v>
      </c>
      <c r="M57" s="3">
        <v>3541.1</v>
      </c>
      <c r="N57" s="3">
        <v>3187.23</v>
      </c>
      <c r="O57" s="3">
        <v>3187.23</v>
      </c>
      <c r="P57" s="3">
        <v>3817.06</v>
      </c>
      <c r="Q57" s="3">
        <v>1736.86</v>
      </c>
      <c r="R57" s="3">
        <v>1736.86</v>
      </c>
      <c r="S57" s="3">
        <v>1736.86</v>
      </c>
      <c r="T57" s="3">
        <v>5699.39</v>
      </c>
      <c r="U57" s="3">
        <v>5699.39</v>
      </c>
    </row>
    <row r="58" spans="1:21" x14ac:dyDescent="0.25">
      <c r="A58" s="2"/>
      <c r="B58" s="2"/>
      <c r="C58" s="1" t="s">
        <v>69</v>
      </c>
      <c r="D58" s="1" t="s">
        <v>95</v>
      </c>
      <c r="E58" s="3"/>
      <c r="F58" s="3"/>
      <c r="G58" s="3"/>
      <c r="H58" s="3"/>
      <c r="I58" s="3"/>
      <c r="J58" s="3">
        <v>0</v>
      </c>
      <c r="K58" s="3">
        <v>138755.98000000001</v>
      </c>
      <c r="L58" s="3">
        <v>130268.08</v>
      </c>
      <c r="M58" s="3"/>
      <c r="N58" s="3"/>
      <c r="O58" s="3"/>
      <c r="P58" s="3"/>
      <c r="Q58" s="3"/>
      <c r="R58" s="3"/>
      <c r="S58" s="3"/>
      <c r="T58" s="3"/>
      <c r="U58" s="3"/>
    </row>
    <row r="59" spans="1:21" x14ac:dyDescent="0.25">
      <c r="A59" s="2"/>
      <c r="B59" s="2"/>
      <c r="C59" s="1" t="s">
        <v>73</v>
      </c>
      <c r="D59" s="1" t="s">
        <v>96</v>
      </c>
      <c r="E59" s="3"/>
      <c r="F59" s="3"/>
      <c r="G59" s="3"/>
      <c r="H59" s="3"/>
      <c r="I59" s="3"/>
      <c r="J59" s="3">
        <v>0</v>
      </c>
      <c r="K59" s="3">
        <v>185656.46</v>
      </c>
      <c r="L59" s="3">
        <v>184038.17</v>
      </c>
      <c r="M59" s="3">
        <v>287830.59000000003</v>
      </c>
      <c r="N59" s="3">
        <v>282925.34999999998</v>
      </c>
      <c r="O59" s="3">
        <v>281728.96999999997</v>
      </c>
      <c r="P59" s="3">
        <v>280575.92</v>
      </c>
      <c r="Q59" s="3">
        <v>30421.72</v>
      </c>
      <c r="R59" s="3">
        <v>30421.72</v>
      </c>
      <c r="S59" s="3">
        <v>30079.25</v>
      </c>
      <c r="T59" s="3">
        <v>30079.25</v>
      </c>
      <c r="U59" s="3">
        <v>30079.25</v>
      </c>
    </row>
    <row r="60" spans="1:21" x14ac:dyDescent="0.25">
      <c r="A60" s="2"/>
      <c r="B60" s="2"/>
      <c r="C60" s="1" t="s">
        <v>70</v>
      </c>
      <c r="D60" s="1" t="s">
        <v>97</v>
      </c>
      <c r="E60" s="3"/>
      <c r="F60" s="3"/>
      <c r="G60" s="3"/>
      <c r="H60" s="3"/>
      <c r="I60" s="3"/>
      <c r="J60" s="3">
        <v>0</v>
      </c>
      <c r="K60" s="3">
        <v>50625</v>
      </c>
      <c r="L60" s="3">
        <v>50326.879999999997</v>
      </c>
      <c r="M60" s="3">
        <v>49403.11</v>
      </c>
      <c r="N60" s="3">
        <v>48686.27</v>
      </c>
      <c r="O60" s="3">
        <v>48686.27</v>
      </c>
      <c r="P60" s="3">
        <v>48570.76</v>
      </c>
      <c r="Q60" s="3">
        <v>47621.41</v>
      </c>
      <c r="R60" s="3">
        <v>47621.41</v>
      </c>
      <c r="S60" s="3">
        <v>47621.41</v>
      </c>
      <c r="T60" s="3">
        <v>47170.86</v>
      </c>
      <c r="U60" s="3">
        <v>47170.86</v>
      </c>
    </row>
    <row r="61" spans="1:21" x14ac:dyDescent="0.25">
      <c r="A61" s="2"/>
      <c r="B61" s="2"/>
      <c r="C61" s="1"/>
      <c r="D61" s="1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</row>
    <row r="62" spans="1:21" x14ac:dyDescent="0.25">
      <c r="A62" s="2"/>
      <c r="B62" s="2"/>
      <c r="C62" s="1"/>
      <c r="D62" s="4" t="s">
        <v>76</v>
      </c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</row>
    <row r="63" spans="1:21" x14ac:dyDescent="0.25">
      <c r="A63" s="2"/>
      <c r="B63" s="2"/>
      <c r="C63" s="1"/>
      <c r="D63" s="1" t="s">
        <v>36</v>
      </c>
      <c r="E63" s="3">
        <f>109681.4-35000</f>
        <v>74681.399999999994</v>
      </c>
      <c r="F63" s="3">
        <f>104335.3</f>
        <v>104335.3</v>
      </c>
      <c r="G63" s="3">
        <v>136602</v>
      </c>
      <c r="H63" s="3">
        <v>112280.64</v>
      </c>
      <c r="I63" s="3">
        <v>65729.600000000006</v>
      </c>
      <c r="J63" s="3">
        <f>191958.26-45600</f>
        <v>146358.26</v>
      </c>
      <c r="K63" s="3">
        <f>93414.32-33844.1-7455</f>
        <v>52115.220000000008</v>
      </c>
      <c r="L63" s="3">
        <f>79495.52-34106.1</f>
        <v>45389.420000000006</v>
      </c>
      <c r="M63" s="3">
        <v>52534.86</v>
      </c>
      <c r="N63" s="3">
        <v>38823.839999999997</v>
      </c>
      <c r="O63" s="3">
        <v>23544.83</v>
      </c>
      <c r="P63" s="3">
        <v>25982.26</v>
      </c>
      <c r="Q63" s="3">
        <v>166243</v>
      </c>
      <c r="R63" s="3">
        <v>184689</v>
      </c>
      <c r="S63" s="3">
        <v>177176</v>
      </c>
      <c r="T63" s="3">
        <v>175916</v>
      </c>
      <c r="U63" s="3">
        <v>217949.46</v>
      </c>
    </row>
    <row r="64" spans="1:21" x14ac:dyDescent="0.25">
      <c r="A64" s="2"/>
      <c r="B64" s="2"/>
      <c r="C64" s="1"/>
      <c r="D64" s="1" t="s">
        <v>37</v>
      </c>
      <c r="E64" s="3">
        <v>16095.23</v>
      </c>
      <c r="F64" s="3">
        <f>3555.6</f>
        <v>3555.6</v>
      </c>
      <c r="G64" s="3">
        <v>19481</v>
      </c>
      <c r="H64" s="3">
        <v>29282.6</v>
      </c>
      <c r="I64" s="3">
        <v>14135.64</v>
      </c>
      <c r="J64" s="3">
        <v>22915.9</v>
      </c>
      <c r="K64" s="3">
        <f>10473.5-262</f>
        <v>10211.5</v>
      </c>
      <c r="L64" s="3">
        <v>8355.7199999999993</v>
      </c>
      <c r="M64" s="3">
        <v>-132.19999999999999</v>
      </c>
      <c r="N64" s="3">
        <v>25698</v>
      </c>
      <c r="O64" s="3">
        <v>7274.4</v>
      </c>
      <c r="P64" s="3">
        <v>731.47</v>
      </c>
      <c r="Q64" s="3">
        <v>-4358</v>
      </c>
      <c r="R64" s="3">
        <v>-182</v>
      </c>
      <c r="S64" s="3">
        <v>20894</v>
      </c>
      <c r="T64" s="3">
        <v>23075</v>
      </c>
      <c r="U64" s="3">
        <v>15978</v>
      </c>
    </row>
    <row r="65" spans="1:21" x14ac:dyDescent="0.25">
      <c r="A65" s="2"/>
      <c r="B65" s="2"/>
      <c r="C65" s="1"/>
      <c r="D65" s="1" t="s">
        <v>38</v>
      </c>
      <c r="E65" s="3">
        <f>110418.78-7000</f>
        <v>103418.78</v>
      </c>
      <c r="F65" s="3">
        <f>18126</f>
        <v>18126</v>
      </c>
      <c r="G65" s="3">
        <v>84985</v>
      </c>
      <c r="H65" s="3">
        <v>27692.06</v>
      </c>
      <c r="I65" s="3">
        <v>39791.56</v>
      </c>
      <c r="J65" s="3">
        <v>23718.78</v>
      </c>
      <c r="K65" s="3">
        <f>17795.5-0</f>
        <v>17795.5</v>
      </c>
      <c r="L65" s="3">
        <v>29826.1</v>
      </c>
      <c r="M65" s="3">
        <f>16285-4500</f>
        <v>11785</v>
      </c>
      <c r="N65" s="3">
        <v>7770.37</v>
      </c>
      <c r="O65" s="3">
        <v>38357</v>
      </c>
      <c r="P65" s="3">
        <v>11852</v>
      </c>
      <c r="Q65" s="3">
        <v>-1630</v>
      </c>
      <c r="R65" s="3">
        <v>7934</v>
      </c>
      <c r="S65" s="3">
        <v>-382</v>
      </c>
      <c r="T65" s="3">
        <v>598</v>
      </c>
      <c r="U65" s="3">
        <v>140</v>
      </c>
    </row>
    <row r="66" spans="1:21" x14ac:dyDescent="0.25">
      <c r="A66" s="2"/>
      <c r="B66" s="2"/>
      <c r="C66" s="1"/>
      <c r="D66" s="1" t="s">
        <v>39</v>
      </c>
      <c r="E66" s="3">
        <f>53014.04-9642.9</f>
        <v>43371.14</v>
      </c>
      <c r="F66" s="3">
        <f>34148.23</f>
        <v>34148.230000000003</v>
      </c>
      <c r="G66" s="3">
        <v>27924</v>
      </c>
      <c r="H66" s="3">
        <v>81815.23</v>
      </c>
      <c r="I66" s="3">
        <v>42843.03</v>
      </c>
      <c r="J66" s="3">
        <v>24865.1</v>
      </c>
      <c r="K66" s="3">
        <f>20477-8037</f>
        <v>12440</v>
      </c>
      <c r="L66" s="3">
        <v>19382</v>
      </c>
      <c r="M66" s="3">
        <f>39982.37-8165</f>
        <v>31817.370000000003</v>
      </c>
      <c r="N66" s="3">
        <v>37643.019999999997</v>
      </c>
      <c r="O66" s="3">
        <v>10393.370000000001</v>
      </c>
      <c r="P66" s="3">
        <v>55284</v>
      </c>
      <c r="Q66" s="3">
        <v>6164</v>
      </c>
      <c r="R66" s="3">
        <v>5740</v>
      </c>
      <c r="S66" s="3">
        <v>9151</v>
      </c>
      <c r="T66" s="3">
        <v>9626</v>
      </c>
      <c r="U66" s="3">
        <v>27843</v>
      </c>
    </row>
    <row r="67" spans="1:21" x14ac:dyDescent="0.25">
      <c r="A67" s="2"/>
      <c r="B67" s="2"/>
      <c r="C67" s="1"/>
      <c r="D67" s="1" t="s">
        <v>40</v>
      </c>
      <c r="E67" s="3">
        <f>-16137.95+35000</f>
        <v>18862.05</v>
      </c>
      <c r="F67" s="3">
        <f>43377.28+20791.67-7000+6600+12400+1430-2049+2018-5244</f>
        <v>72323.95</v>
      </c>
      <c r="G67" s="3">
        <f>-83918+6088+16132-5000+57000</f>
        <v>-9698</v>
      </c>
      <c r="H67" s="3"/>
      <c r="I67" s="3">
        <v>5511.19</v>
      </c>
      <c r="J67" s="3">
        <v>-17064.37</v>
      </c>
      <c r="K67" s="3">
        <f>-179078.2+138323.7</f>
        <v>-40754.5</v>
      </c>
      <c r="L67" s="3">
        <v>-7841.95</v>
      </c>
      <c r="M67" s="3">
        <v>1661.1</v>
      </c>
      <c r="N67" s="3">
        <f>-5366.8+6000</f>
        <v>633.19999999999982</v>
      </c>
      <c r="O67" s="3">
        <f>-16396.68+6000</f>
        <v>-10396.68</v>
      </c>
      <c r="P67" s="3">
        <f>-32754.61+6000</f>
        <v>-26754.61</v>
      </c>
      <c r="Q67" s="3">
        <v>32777</v>
      </c>
      <c r="R67" s="3">
        <v>8491</v>
      </c>
      <c r="S67" s="3">
        <v>11683</v>
      </c>
      <c r="T67" s="3">
        <v>0</v>
      </c>
      <c r="U67" s="3">
        <v>16951.82</v>
      </c>
    </row>
    <row r="68" spans="1:21" x14ac:dyDescent="0.25">
      <c r="A68" s="2"/>
      <c r="B68" s="2"/>
      <c r="C68" s="1"/>
      <c r="D68" s="4" t="s">
        <v>41</v>
      </c>
      <c r="E68" s="6">
        <f t="shared" ref="E68:F68" si="2">SUM(E63:E67)</f>
        <v>256428.59999999998</v>
      </c>
      <c r="F68" s="6">
        <f t="shared" si="2"/>
        <v>232489.08000000002</v>
      </c>
      <c r="G68" s="6">
        <f t="shared" ref="G68:U68" si="3">SUM(G63:G67)</f>
        <v>259294</v>
      </c>
      <c r="H68" s="6">
        <f t="shared" si="3"/>
        <v>251070.52999999997</v>
      </c>
      <c r="I68" s="6">
        <f t="shared" si="3"/>
        <v>168011.02000000002</v>
      </c>
      <c r="J68" s="6">
        <f t="shared" si="3"/>
        <v>200793.67</v>
      </c>
      <c r="K68" s="6">
        <f t="shared" si="3"/>
        <v>51807.72</v>
      </c>
      <c r="L68" s="6">
        <f t="shared" si="3"/>
        <v>95111.290000000008</v>
      </c>
      <c r="M68" s="6">
        <f t="shared" si="3"/>
        <v>97666.13</v>
      </c>
      <c r="N68" s="6">
        <f t="shared" si="3"/>
        <v>110568.42999999998</v>
      </c>
      <c r="O68" s="6">
        <f t="shared" si="3"/>
        <v>69172.920000000013</v>
      </c>
      <c r="P68" s="6">
        <f t="shared" si="3"/>
        <v>67095.12</v>
      </c>
      <c r="Q68" s="6">
        <f t="shared" si="3"/>
        <v>199196</v>
      </c>
      <c r="R68" s="6">
        <f t="shared" si="3"/>
        <v>206672</v>
      </c>
      <c r="S68" s="6">
        <f t="shared" si="3"/>
        <v>218522</v>
      </c>
      <c r="T68" s="6">
        <f t="shared" si="3"/>
        <v>209215</v>
      </c>
      <c r="U68" s="6">
        <f t="shared" si="3"/>
        <v>278862.27999999997</v>
      </c>
    </row>
    <row r="69" spans="1:21" x14ac:dyDescent="0.25">
      <c r="A69" s="2"/>
      <c r="B69" s="2"/>
      <c r="C69" s="1"/>
      <c r="D69" s="1"/>
      <c r="E69" s="3"/>
      <c r="F69" s="3"/>
      <c r="G69" s="3"/>
      <c r="H69" s="3"/>
      <c r="I69" s="3"/>
      <c r="J69" s="3"/>
      <c r="K69" s="3"/>
      <c r="L69" s="3"/>
      <c r="Q69" s="3"/>
      <c r="R69" s="3"/>
      <c r="S69" s="3"/>
      <c r="T69" s="3"/>
      <c r="U69" s="3"/>
    </row>
    <row r="70" spans="1:21" x14ac:dyDescent="0.25">
      <c r="A70" s="2"/>
      <c r="B70" s="2"/>
      <c r="C70" s="1"/>
      <c r="D70" s="4" t="s">
        <v>77</v>
      </c>
      <c r="E70" s="3"/>
      <c r="F70" s="3"/>
      <c r="G70" s="3"/>
      <c r="H70" s="3"/>
      <c r="I70" s="3"/>
      <c r="J70" s="3"/>
      <c r="K70" s="3"/>
      <c r="L70" s="3"/>
      <c r="Q70" s="3"/>
      <c r="R70" s="3"/>
      <c r="S70" s="3"/>
      <c r="T70" s="3"/>
      <c r="U70" s="3"/>
    </row>
    <row r="71" spans="1:21" x14ac:dyDescent="0.25">
      <c r="A71" s="2"/>
      <c r="B71" s="2"/>
      <c r="C71" s="1"/>
      <c r="D71" s="1" t="s">
        <v>36</v>
      </c>
      <c r="E71" s="3">
        <f>1209-600</f>
        <v>609</v>
      </c>
      <c r="F71" s="3">
        <v>1270.6199999999999</v>
      </c>
      <c r="G71" s="3">
        <v>400</v>
      </c>
      <c r="H71" s="3">
        <v>877.76</v>
      </c>
      <c r="I71" s="3">
        <v>224.5</v>
      </c>
      <c r="J71" s="3">
        <f>9024.1-6021.49</f>
        <v>3002.6100000000006</v>
      </c>
      <c r="K71" s="3">
        <v>8581.49</v>
      </c>
      <c r="L71" s="3"/>
      <c r="Q71" s="3">
        <v>10738</v>
      </c>
      <c r="R71" s="3">
        <v>9835</v>
      </c>
      <c r="S71" s="3">
        <v>10010</v>
      </c>
      <c r="T71" s="3">
        <v>11217.5</v>
      </c>
      <c r="U71" s="3">
        <v>0</v>
      </c>
    </row>
    <row r="72" spans="1:21" x14ac:dyDescent="0.25">
      <c r="A72" s="2"/>
      <c r="B72" s="2"/>
      <c r="C72" s="1"/>
      <c r="D72" s="1" t="s">
        <v>37</v>
      </c>
      <c r="E72" s="3">
        <v>98</v>
      </c>
      <c r="F72" s="3">
        <v>-90</v>
      </c>
      <c r="G72" s="3">
        <v>695</v>
      </c>
      <c r="H72" s="3">
        <v>459.46</v>
      </c>
      <c r="I72" s="3">
        <v>0</v>
      </c>
      <c r="J72" s="3">
        <v>0</v>
      </c>
      <c r="K72" s="3">
        <v>616</v>
      </c>
      <c r="L72" s="3"/>
      <c r="Q72" s="3">
        <v>888</v>
      </c>
      <c r="R72" s="3">
        <v>1463</v>
      </c>
      <c r="S72" s="3">
        <v>415</v>
      </c>
      <c r="T72" s="3">
        <f>595-95</f>
        <v>500</v>
      </c>
      <c r="U72" s="3">
        <v>12410</v>
      </c>
    </row>
    <row r="73" spans="1:21" x14ac:dyDescent="0.25">
      <c r="A73" s="2"/>
      <c r="B73" s="2"/>
      <c r="C73" s="1"/>
      <c r="D73" s="1" t="s">
        <v>38</v>
      </c>
      <c r="E73" s="3">
        <v>280</v>
      </c>
      <c r="F73" s="3">
        <v>543</v>
      </c>
      <c r="G73" s="3">
        <v>226</v>
      </c>
      <c r="H73" s="3">
        <v>280</v>
      </c>
      <c r="I73" s="3">
        <v>1384</v>
      </c>
      <c r="J73" s="3">
        <v>784.01</v>
      </c>
      <c r="K73" s="3">
        <v>1328</v>
      </c>
      <c r="L73" s="3"/>
      <c r="Q73" s="3">
        <v>275</v>
      </c>
      <c r="R73" s="3">
        <v>888</v>
      </c>
      <c r="S73" s="3">
        <v>1462</v>
      </c>
      <c r="T73" s="3">
        <v>1340</v>
      </c>
      <c r="U73" s="3">
        <f>555-95</f>
        <v>460</v>
      </c>
    </row>
    <row r="74" spans="1:21" x14ac:dyDescent="0.25">
      <c r="C74" s="1"/>
      <c r="D74" s="1" t="s">
        <v>39</v>
      </c>
      <c r="E74" s="3">
        <f>1464-1422</f>
        <v>42</v>
      </c>
      <c r="F74" s="3">
        <v>98</v>
      </c>
      <c r="G74" s="3">
        <v>904</v>
      </c>
      <c r="H74" s="3">
        <v>817</v>
      </c>
      <c r="I74" s="3">
        <v>60</v>
      </c>
      <c r="J74" s="3">
        <v>0</v>
      </c>
      <c r="K74" s="3">
        <v>126</v>
      </c>
      <c r="L74" s="3"/>
      <c r="Q74" s="3">
        <v>430</v>
      </c>
      <c r="R74" s="3">
        <v>275</v>
      </c>
      <c r="S74" s="3">
        <v>1067</v>
      </c>
      <c r="T74" s="3">
        <v>750</v>
      </c>
      <c r="U74" s="3">
        <v>1869.8</v>
      </c>
    </row>
    <row r="75" spans="1:21" x14ac:dyDescent="0.25">
      <c r="C75" s="1"/>
      <c r="D75" s="1" t="s">
        <v>40</v>
      </c>
      <c r="E75" s="3">
        <f>621-600</f>
        <v>21</v>
      </c>
      <c r="F75" s="3">
        <v>400</v>
      </c>
      <c r="G75" s="3">
        <v>32</v>
      </c>
      <c r="H75" s="3">
        <v>0</v>
      </c>
      <c r="I75" s="3">
        <v>0</v>
      </c>
      <c r="J75" s="3">
        <f>-35658.61+38169.94</f>
        <v>2511.3300000000017</v>
      </c>
      <c r="K75" s="3">
        <f>-24075.33+19070.04</f>
        <v>-5005.2900000000009</v>
      </c>
      <c r="L75" s="3"/>
      <c r="Q75" s="3">
        <v>585</v>
      </c>
      <c r="R75" s="3">
        <v>595</v>
      </c>
      <c r="S75" s="3">
        <v>275</v>
      </c>
      <c r="T75" s="3">
        <v>0</v>
      </c>
      <c r="U75" s="3">
        <v>0</v>
      </c>
    </row>
    <row r="76" spans="1:21" x14ac:dyDescent="0.25">
      <c r="C76" s="1"/>
      <c r="D76" s="4" t="s">
        <v>41</v>
      </c>
      <c r="E76" s="6">
        <f t="shared" ref="E76:F76" si="4">SUM(E71:E75)</f>
        <v>1050</v>
      </c>
      <c r="F76" s="6">
        <f t="shared" si="4"/>
        <v>2221.62</v>
      </c>
      <c r="G76" s="6">
        <f t="shared" ref="G76:L76" si="5">SUM(G71:G75)</f>
        <v>2257</v>
      </c>
      <c r="H76" s="6">
        <f t="shared" si="5"/>
        <v>2434.2200000000003</v>
      </c>
      <c r="I76" s="6">
        <f t="shared" si="5"/>
        <v>1668.5</v>
      </c>
      <c r="J76" s="6">
        <f t="shared" si="5"/>
        <v>6297.9500000000025</v>
      </c>
      <c r="K76" s="6">
        <f t="shared" si="5"/>
        <v>5646.1999999999989</v>
      </c>
      <c r="L76" s="6">
        <f t="shared" si="5"/>
        <v>0</v>
      </c>
      <c r="Q76" s="6">
        <f>SUM(Q71:Q75)</f>
        <v>12916</v>
      </c>
      <c r="R76" s="6">
        <f>SUM(R71:R75)</f>
        <v>13056</v>
      </c>
      <c r="S76" s="6">
        <f>SUM(S71:S75)</f>
        <v>13229</v>
      </c>
      <c r="T76" s="6">
        <f>SUM(T71:T75)</f>
        <v>13807.5</v>
      </c>
      <c r="U76" s="6">
        <f>SUM(U71:U75)</f>
        <v>14739.8</v>
      </c>
    </row>
    <row r="77" spans="1:21" x14ac:dyDescent="0.25">
      <c r="C77" s="1"/>
      <c r="D77" s="1"/>
      <c r="E77" s="3"/>
      <c r="F77" s="3"/>
      <c r="G77" s="3"/>
      <c r="H77" s="3"/>
      <c r="I77" s="3"/>
      <c r="J77" s="2"/>
      <c r="K77" s="3"/>
      <c r="L77" s="3"/>
    </row>
    <row r="78" spans="1:21" x14ac:dyDescent="0.25">
      <c r="C78" s="1"/>
      <c r="D78" s="1"/>
      <c r="E78" s="3"/>
      <c r="F78" s="3"/>
      <c r="G78" s="3"/>
      <c r="H78" s="3"/>
      <c r="I78" s="2"/>
      <c r="J78" s="3"/>
      <c r="K78" s="3"/>
    </row>
    <row r="79" spans="1:21" x14ac:dyDescent="0.25">
      <c r="A79" s="1"/>
      <c r="B79" s="1"/>
      <c r="C79" s="1"/>
      <c r="D79" s="1"/>
      <c r="E79" s="3"/>
      <c r="F79" s="3"/>
      <c r="G79" s="3"/>
      <c r="H79" s="3"/>
      <c r="I79" s="2"/>
      <c r="J79" s="3"/>
      <c r="K79" s="3"/>
    </row>
    <row r="80" spans="1:21" s="2" customFormat="1" x14ac:dyDescent="0.25">
      <c r="A80"/>
      <c r="B80"/>
      <c r="C80" s="1"/>
      <c r="D80" s="1"/>
      <c r="E80" s="3"/>
      <c r="F80" s="3"/>
      <c r="G80" s="3"/>
      <c r="I80" s="3"/>
      <c r="J80" s="3"/>
      <c r="K80"/>
      <c r="L80"/>
      <c r="M80"/>
      <c r="N80"/>
      <c r="O80"/>
      <c r="P80"/>
      <c r="Q80"/>
      <c r="R80"/>
      <c r="S80"/>
    </row>
    <row r="81" spans="1:19" s="2" customFormat="1" x14ac:dyDescent="0.25">
      <c r="A81"/>
      <c r="B81"/>
      <c r="C81" s="1"/>
      <c r="D81" s="1"/>
      <c r="E81" s="3"/>
      <c r="F81" s="3"/>
      <c r="G81" s="3"/>
      <c r="I81" s="3"/>
      <c r="J81" s="3"/>
      <c r="K81"/>
      <c r="L81"/>
      <c r="M81"/>
      <c r="N81"/>
      <c r="O81"/>
      <c r="P81"/>
      <c r="Q81"/>
      <c r="R81"/>
      <c r="S81"/>
    </row>
    <row r="82" spans="1:19" s="2" customFormat="1" x14ac:dyDescent="0.25">
      <c r="A82"/>
      <c r="B82"/>
      <c r="C82" s="1"/>
      <c r="D82" s="1"/>
      <c r="E82" s="3"/>
      <c r="F82" s="3"/>
      <c r="G82" s="3"/>
      <c r="I82" s="3"/>
      <c r="J82" s="3"/>
      <c r="K82"/>
      <c r="L82"/>
      <c r="M82"/>
      <c r="N82"/>
      <c r="O82"/>
      <c r="P82"/>
      <c r="Q82"/>
      <c r="R82"/>
      <c r="S82"/>
    </row>
    <row r="83" spans="1:19" s="2" customFormat="1" x14ac:dyDescent="0.25">
      <c r="A83"/>
      <c r="B83"/>
      <c r="C83" s="1"/>
      <c r="D83" s="1"/>
      <c r="E83" s="3"/>
      <c r="F83" s="3"/>
      <c r="G83" s="3"/>
      <c r="I83" s="3"/>
      <c r="J83" s="3"/>
      <c r="K83"/>
      <c r="L83"/>
      <c r="M83"/>
      <c r="N83"/>
      <c r="O83"/>
      <c r="P83"/>
      <c r="Q83"/>
      <c r="R83"/>
      <c r="S83"/>
    </row>
    <row r="84" spans="1:19" s="2" customFormat="1" x14ac:dyDescent="0.25">
      <c r="A84"/>
      <c r="B84"/>
      <c r="C84" s="1"/>
      <c r="D84" s="1"/>
      <c r="E84" s="3"/>
      <c r="F84" s="3"/>
      <c r="G84" s="3"/>
      <c r="I84"/>
      <c r="J84"/>
      <c r="K84"/>
      <c r="L84"/>
      <c r="M84"/>
      <c r="N84"/>
      <c r="O84"/>
      <c r="P84"/>
      <c r="Q84"/>
      <c r="R84"/>
      <c r="S84"/>
    </row>
    <row r="85" spans="1:19" s="2" customFormat="1" x14ac:dyDescent="0.25">
      <c r="A85"/>
      <c r="B85"/>
      <c r="C85" s="1"/>
      <c r="D85" s="1"/>
      <c r="E85" s="3"/>
      <c r="F85" s="3"/>
      <c r="G85" s="3"/>
      <c r="I85"/>
      <c r="J85"/>
      <c r="K85"/>
      <c r="L85"/>
      <c r="M85"/>
      <c r="N85"/>
      <c r="O85"/>
      <c r="P85"/>
      <c r="Q85"/>
      <c r="R85"/>
      <c r="S85"/>
    </row>
    <row r="86" spans="1:19" s="2" customFormat="1" x14ac:dyDescent="0.25">
      <c r="A86"/>
      <c r="B86"/>
      <c r="C86" s="1"/>
      <c r="D86" s="1"/>
      <c r="E86" s="3"/>
      <c r="F86" s="3"/>
      <c r="G86" s="3"/>
      <c r="I86"/>
      <c r="J86"/>
      <c r="K86"/>
      <c r="L86"/>
      <c r="M86"/>
      <c r="N86"/>
      <c r="O86"/>
      <c r="P86"/>
      <c r="Q86"/>
      <c r="R86"/>
      <c r="S86"/>
    </row>
    <row r="87" spans="1:19" s="2" customFormat="1" x14ac:dyDescent="0.25">
      <c r="A87"/>
      <c r="B87"/>
      <c r="C87" s="1"/>
      <c r="D87" s="1"/>
      <c r="E87" s="3"/>
      <c r="F87" s="3"/>
      <c r="I87"/>
      <c r="J87"/>
      <c r="K87"/>
      <c r="L87"/>
      <c r="M87"/>
      <c r="N87"/>
      <c r="O87"/>
      <c r="P87"/>
      <c r="Q87"/>
      <c r="R87"/>
      <c r="S87"/>
    </row>
    <row r="88" spans="1:19" s="2" customFormat="1" x14ac:dyDescent="0.25">
      <c r="A88"/>
      <c r="B88"/>
      <c r="C88" s="1"/>
      <c r="D88" s="1"/>
      <c r="E88" s="3"/>
      <c r="F88" s="3"/>
      <c r="G88" s="3"/>
      <c r="I88"/>
      <c r="J88"/>
      <c r="K88"/>
      <c r="L88"/>
      <c r="M88"/>
      <c r="N88"/>
      <c r="O88"/>
      <c r="P88"/>
      <c r="Q88"/>
      <c r="R88"/>
      <c r="S88"/>
    </row>
    <row r="89" spans="1:19" s="2" customFormat="1" x14ac:dyDescent="0.25">
      <c r="A89"/>
      <c r="B89"/>
      <c r="C89" s="1"/>
      <c r="D89" s="1"/>
      <c r="E89" s="3"/>
      <c r="F89" s="3"/>
      <c r="G89" s="3"/>
      <c r="I89"/>
      <c r="J89"/>
      <c r="K89"/>
      <c r="L89"/>
      <c r="M89"/>
      <c r="N89"/>
      <c r="O89"/>
      <c r="P89"/>
      <c r="Q89"/>
      <c r="R89"/>
      <c r="S89"/>
    </row>
    <row r="90" spans="1:19" s="2" customFormat="1" x14ac:dyDescent="0.25">
      <c r="A90"/>
      <c r="B90"/>
      <c r="C90" s="1"/>
      <c r="D90" s="1"/>
      <c r="E90" s="3"/>
      <c r="F90" s="3"/>
      <c r="G90" s="3"/>
      <c r="I90"/>
      <c r="J90"/>
      <c r="K90"/>
      <c r="L90"/>
      <c r="M90"/>
      <c r="N90"/>
      <c r="O90"/>
      <c r="P90"/>
      <c r="Q90"/>
      <c r="R90"/>
      <c r="S90"/>
    </row>
    <row r="91" spans="1:19" s="2" customFormat="1" x14ac:dyDescent="0.25">
      <c r="A91"/>
      <c r="B91"/>
      <c r="C91" s="1"/>
      <c r="D91" s="1"/>
      <c r="E91" s="3"/>
      <c r="F91" s="3"/>
      <c r="G91" s="3"/>
      <c r="I91"/>
      <c r="J91"/>
      <c r="K91"/>
      <c r="L91"/>
      <c r="M91"/>
      <c r="N91"/>
      <c r="O91"/>
      <c r="P91"/>
      <c r="Q91"/>
      <c r="R91"/>
      <c r="S91"/>
    </row>
    <row r="92" spans="1:19" s="2" customFormat="1" x14ac:dyDescent="0.25">
      <c r="A92"/>
      <c r="B92"/>
      <c r="C92" s="1"/>
      <c r="D92" s="1"/>
      <c r="E92" s="3"/>
      <c r="F92" s="3"/>
      <c r="G92" s="3"/>
      <c r="I92"/>
      <c r="J92"/>
      <c r="K92"/>
      <c r="L92"/>
      <c r="M92"/>
      <c r="N92"/>
      <c r="O92"/>
      <c r="P92"/>
      <c r="Q92"/>
      <c r="R92"/>
      <c r="S92"/>
    </row>
    <row r="93" spans="1:19" s="2" customFormat="1" x14ac:dyDescent="0.25">
      <c r="A93" s="1"/>
      <c r="B93" s="1"/>
      <c r="C93" s="1"/>
      <c r="D93" s="1"/>
      <c r="E93" s="3"/>
      <c r="F93" s="3"/>
      <c r="G93" s="3"/>
      <c r="I93"/>
      <c r="J93"/>
      <c r="K93"/>
      <c r="L93"/>
      <c r="M93"/>
      <c r="N93"/>
      <c r="O93"/>
      <c r="P93"/>
      <c r="Q93"/>
      <c r="R93"/>
      <c r="S93"/>
    </row>
    <row r="94" spans="1:19" s="2" customFormat="1" x14ac:dyDescent="0.25">
      <c r="A94"/>
      <c r="B94"/>
      <c r="C94" s="1"/>
      <c r="D94" s="1"/>
      <c r="E94" s="3"/>
      <c r="F94" s="3"/>
      <c r="I94"/>
      <c r="J94"/>
      <c r="K94"/>
      <c r="L94"/>
      <c r="M94"/>
      <c r="N94"/>
      <c r="O94"/>
      <c r="P94"/>
      <c r="Q94"/>
      <c r="R94"/>
      <c r="S94"/>
    </row>
    <row r="95" spans="1:19" s="2" customFormat="1" x14ac:dyDescent="0.25">
      <c r="A95"/>
      <c r="B95"/>
      <c r="C95" s="1"/>
      <c r="D95" s="1"/>
      <c r="E95" s="3"/>
      <c r="F95" s="3"/>
      <c r="G95" s="3"/>
      <c r="I95"/>
      <c r="J95"/>
      <c r="K95"/>
      <c r="L95"/>
      <c r="M95"/>
      <c r="N95"/>
      <c r="O95"/>
      <c r="P95"/>
      <c r="Q95"/>
      <c r="R95"/>
      <c r="S95"/>
    </row>
    <row r="96" spans="1:19" s="2" customFormat="1" x14ac:dyDescent="0.25">
      <c r="A96"/>
      <c r="B96"/>
      <c r="C96" s="1"/>
      <c r="D96" s="1"/>
      <c r="E96" s="3"/>
      <c r="F96" s="3"/>
      <c r="I96"/>
      <c r="J96"/>
      <c r="K96"/>
      <c r="L96"/>
      <c r="M96"/>
      <c r="N96"/>
      <c r="O96"/>
      <c r="P96"/>
      <c r="Q96"/>
      <c r="R96"/>
      <c r="S96"/>
    </row>
    <row r="97" spans="1:19" s="2" customFormat="1" x14ac:dyDescent="0.25">
      <c r="A97" s="1"/>
      <c r="B97" s="1"/>
      <c r="C97" s="1"/>
      <c r="D97" s="1"/>
      <c r="E97" s="3"/>
      <c r="F97" s="3"/>
      <c r="G97" s="3"/>
      <c r="I97"/>
      <c r="J97"/>
      <c r="K97"/>
      <c r="L97"/>
      <c r="M97"/>
      <c r="N97"/>
      <c r="O97"/>
      <c r="P97"/>
      <c r="Q97"/>
      <c r="R97"/>
      <c r="S97"/>
    </row>
    <row r="98" spans="1:19" s="2" customFormat="1" x14ac:dyDescent="0.25">
      <c r="A98"/>
      <c r="B98"/>
      <c r="C98" s="1"/>
      <c r="D98" s="1"/>
      <c r="E98" s="3"/>
      <c r="F98" s="3"/>
      <c r="I98"/>
      <c r="J98"/>
      <c r="K98"/>
      <c r="L98"/>
      <c r="M98"/>
      <c r="N98"/>
      <c r="O98"/>
      <c r="P98"/>
      <c r="Q98"/>
      <c r="R98"/>
      <c r="S98"/>
    </row>
    <row r="99" spans="1:19" s="2" customFormat="1" x14ac:dyDescent="0.25">
      <c r="A99"/>
      <c r="B99"/>
      <c r="C99" s="1"/>
      <c r="D99" s="1"/>
      <c r="E99" s="3"/>
      <c r="F99" s="3"/>
      <c r="G99" s="3"/>
      <c r="I99"/>
      <c r="J99"/>
      <c r="K99"/>
      <c r="L99"/>
      <c r="M99"/>
      <c r="N99"/>
      <c r="O99"/>
      <c r="P99"/>
      <c r="Q99"/>
      <c r="R99"/>
      <c r="S99"/>
    </row>
    <row r="100" spans="1:19" s="2" customFormat="1" x14ac:dyDescent="0.25">
      <c r="A100" s="1"/>
      <c r="B100" s="1"/>
      <c r="C100" s="1"/>
      <c r="D100" s="1"/>
      <c r="E100" s="3"/>
      <c r="F100" s="3"/>
      <c r="G100" s="3"/>
      <c r="I100"/>
      <c r="J100"/>
      <c r="K100"/>
      <c r="L100"/>
      <c r="M100"/>
      <c r="N100"/>
      <c r="O100"/>
      <c r="P100"/>
      <c r="Q100"/>
      <c r="R100"/>
      <c r="S100"/>
    </row>
    <row r="101" spans="1:19" s="2" customFormat="1" x14ac:dyDescent="0.25">
      <c r="A101"/>
      <c r="B101"/>
      <c r="C101" s="1"/>
      <c r="D101" s="1"/>
      <c r="E101" s="3"/>
      <c r="F101" s="3"/>
      <c r="I101"/>
      <c r="J101"/>
      <c r="K101"/>
      <c r="L101"/>
      <c r="M101"/>
      <c r="N101"/>
      <c r="O101"/>
      <c r="P101"/>
      <c r="Q101"/>
      <c r="R101"/>
      <c r="S101"/>
    </row>
    <row r="102" spans="1:19" s="2" customFormat="1" x14ac:dyDescent="0.25">
      <c r="A102"/>
      <c r="B102"/>
      <c r="C102" s="1"/>
      <c r="D102" s="1"/>
      <c r="E102" s="3"/>
      <c r="F102" s="3"/>
      <c r="G102" s="3"/>
      <c r="I102"/>
      <c r="J102"/>
      <c r="K102"/>
      <c r="L102"/>
      <c r="M102"/>
      <c r="N102"/>
      <c r="O102"/>
      <c r="P102"/>
      <c r="Q102"/>
      <c r="R102"/>
      <c r="S102"/>
    </row>
    <row r="103" spans="1:19" s="2" customFormat="1" x14ac:dyDescent="0.25">
      <c r="A103"/>
      <c r="B103"/>
      <c r="C103" s="1"/>
      <c r="D103" s="1"/>
      <c r="E103" s="3"/>
      <c r="F103" s="3"/>
      <c r="I103"/>
      <c r="J103"/>
      <c r="K103"/>
      <c r="L103"/>
      <c r="M103"/>
      <c r="N103"/>
      <c r="O103"/>
      <c r="P103"/>
      <c r="Q103"/>
      <c r="R103"/>
      <c r="S103"/>
    </row>
    <row r="104" spans="1:19" s="2" customFormat="1" x14ac:dyDescent="0.25">
      <c r="A104"/>
      <c r="B104"/>
      <c r="C104" s="1"/>
      <c r="D104" s="1"/>
      <c r="E104" s="3"/>
      <c r="F104" s="3"/>
      <c r="G104" s="3"/>
      <c r="I104"/>
      <c r="J104"/>
      <c r="K104"/>
      <c r="L104"/>
      <c r="M104"/>
      <c r="N104"/>
      <c r="O104"/>
      <c r="P104"/>
      <c r="Q104"/>
      <c r="R104"/>
      <c r="S104"/>
    </row>
    <row r="105" spans="1:19" s="2" customFormat="1" x14ac:dyDescent="0.25">
      <c r="A105" s="1"/>
      <c r="B105" s="1"/>
      <c r="C105" s="1"/>
      <c r="D105" s="1"/>
      <c r="E105" s="3"/>
      <c r="F105" s="3"/>
      <c r="G105" s="3"/>
      <c r="I105"/>
      <c r="J105"/>
      <c r="K105"/>
      <c r="L105"/>
      <c r="M105"/>
      <c r="N105"/>
      <c r="O105"/>
      <c r="P105"/>
      <c r="Q105"/>
      <c r="R105"/>
      <c r="S105"/>
    </row>
    <row r="106" spans="1:19" s="2" customFormat="1" x14ac:dyDescent="0.25">
      <c r="A106"/>
      <c r="B106"/>
      <c r="C106" s="1"/>
      <c r="D106" s="1"/>
      <c r="E106" s="3"/>
      <c r="F106" s="3"/>
      <c r="I106"/>
      <c r="J106"/>
      <c r="K106"/>
      <c r="L106"/>
      <c r="M106"/>
      <c r="N106"/>
      <c r="O106"/>
      <c r="P106"/>
      <c r="Q106"/>
      <c r="R106"/>
      <c r="S106"/>
    </row>
    <row r="107" spans="1:19" s="2" customFormat="1" x14ac:dyDescent="0.25">
      <c r="A107"/>
      <c r="B107"/>
      <c r="C107" s="1"/>
      <c r="D107" s="1"/>
      <c r="E107" s="3"/>
      <c r="F107" s="3"/>
      <c r="G107" s="3"/>
      <c r="I107"/>
      <c r="J107"/>
      <c r="K107"/>
      <c r="L107"/>
      <c r="M107"/>
      <c r="N107"/>
      <c r="O107"/>
      <c r="P107"/>
      <c r="Q107"/>
      <c r="R107"/>
      <c r="S107"/>
    </row>
    <row r="108" spans="1:19" s="2" customFormat="1" x14ac:dyDescent="0.25">
      <c r="A108" s="1"/>
      <c r="B108" s="1"/>
      <c r="C108" s="1"/>
      <c r="D108" s="1"/>
      <c r="E108" s="3"/>
      <c r="F108" s="3"/>
      <c r="G108" s="3"/>
      <c r="I108"/>
      <c r="J108"/>
      <c r="K108"/>
      <c r="L108"/>
      <c r="M108"/>
      <c r="N108"/>
      <c r="O108"/>
      <c r="P108"/>
      <c r="Q108"/>
      <c r="R108"/>
      <c r="S108"/>
    </row>
    <row r="109" spans="1:19" s="2" customFormat="1" x14ac:dyDescent="0.25">
      <c r="A109"/>
      <c r="B109"/>
      <c r="C109" s="1"/>
      <c r="D109" s="1"/>
      <c r="E109" s="3"/>
      <c r="F109" s="3"/>
      <c r="G109" s="3"/>
      <c r="I109"/>
      <c r="J109"/>
      <c r="K109"/>
      <c r="L109"/>
      <c r="M109"/>
      <c r="N109"/>
      <c r="O109"/>
      <c r="P109"/>
      <c r="Q109"/>
      <c r="R109"/>
      <c r="S109"/>
    </row>
    <row r="110" spans="1:19" s="2" customFormat="1" x14ac:dyDescent="0.25">
      <c r="A110"/>
      <c r="B110"/>
      <c r="C110" s="1"/>
      <c r="D110" s="1"/>
      <c r="E110" s="3"/>
      <c r="F110" s="3"/>
      <c r="G110" s="3"/>
      <c r="I110"/>
      <c r="J110"/>
      <c r="K110"/>
      <c r="L110"/>
      <c r="M110"/>
      <c r="N110"/>
      <c r="O110"/>
      <c r="P110"/>
      <c r="Q110"/>
      <c r="R110"/>
      <c r="S110"/>
    </row>
    <row r="111" spans="1:19" s="2" customFormat="1" x14ac:dyDescent="0.25">
      <c r="A111" s="1"/>
      <c r="B111" s="1"/>
      <c r="C111" s="1"/>
      <c r="D111" s="1"/>
      <c r="E111" s="3"/>
      <c r="F111" s="3"/>
      <c r="G111" s="3"/>
      <c r="I111"/>
      <c r="J111"/>
      <c r="K111"/>
      <c r="L111"/>
      <c r="M111"/>
      <c r="N111"/>
      <c r="O111"/>
      <c r="P111"/>
      <c r="Q111"/>
      <c r="R111"/>
      <c r="S111"/>
    </row>
    <row r="112" spans="1:19" s="2" customFormat="1" x14ac:dyDescent="0.25">
      <c r="A112"/>
      <c r="B112"/>
      <c r="C112" s="1"/>
      <c r="D112" s="1"/>
      <c r="E112" s="3"/>
      <c r="F112" s="3"/>
      <c r="I112"/>
      <c r="J112"/>
      <c r="K112"/>
      <c r="L112"/>
      <c r="M112"/>
      <c r="N112"/>
      <c r="O112"/>
      <c r="P112"/>
      <c r="Q112"/>
      <c r="R112"/>
      <c r="S112"/>
    </row>
    <row r="113" spans="1:19" s="2" customFormat="1" x14ac:dyDescent="0.25">
      <c r="A113"/>
      <c r="B113"/>
      <c r="C113" s="1"/>
      <c r="D113" s="1"/>
      <c r="E113" s="3"/>
      <c r="F113" s="3"/>
      <c r="G113" s="3"/>
      <c r="I113"/>
      <c r="J113"/>
      <c r="K113"/>
      <c r="L113"/>
      <c r="M113"/>
      <c r="N113"/>
      <c r="O113"/>
      <c r="P113"/>
      <c r="Q113"/>
      <c r="R113"/>
      <c r="S113"/>
    </row>
    <row r="114" spans="1:19" s="2" customFormat="1" x14ac:dyDescent="0.25">
      <c r="A114"/>
      <c r="B114"/>
      <c r="C114" s="1"/>
      <c r="D114" s="1"/>
      <c r="E114" s="3"/>
      <c r="F114" s="3"/>
      <c r="I114"/>
      <c r="J114"/>
      <c r="K114"/>
      <c r="L114"/>
      <c r="M114"/>
      <c r="N114"/>
      <c r="O114"/>
      <c r="P114"/>
      <c r="Q114"/>
      <c r="R114"/>
      <c r="S114"/>
    </row>
    <row r="115" spans="1:19" s="2" customFormat="1" x14ac:dyDescent="0.25">
      <c r="A115"/>
      <c r="B115"/>
      <c r="C115" s="1"/>
      <c r="D115" s="1"/>
      <c r="E115" s="3"/>
      <c r="F115" s="3"/>
      <c r="I115"/>
      <c r="J115"/>
      <c r="K115"/>
      <c r="L115"/>
      <c r="M115"/>
      <c r="N115"/>
      <c r="O115"/>
      <c r="P115"/>
      <c r="Q115"/>
      <c r="R115"/>
      <c r="S115"/>
    </row>
    <row r="116" spans="1:19" s="2" customFormat="1" x14ac:dyDescent="0.25">
      <c r="A116"/>
      <c r="B116"/>
      <c r="C116" s="1"/>
      <c r="D116" s="1"/>
      <c r="E116" s="3"/>
      <c r="F116" s="3"/>
      <c r="G116" s="3"/>
      <c r="I116"/>
      <c r="J116"/>
      <c r="K116"/>
      <c r="L116"/>
      <c r="M116"/>
      <c r="N116"/>
      <c r="O116"/>
      <c r="P116"/>
      <c r="Q116"/>
      <c r="R116"/>
      <c r="S116"/>
    </row>
    <row r="117" spans="1:19" s="2" customFormat="1" x14ac:dyDescent="0.25">
      <c r="A117"/>
      <c r="B117"/>
      <c r="C117" s="1"/>
      <c r="D117" s="1"/>
      <c r="E117" s="3"/>
      <c r="F117" s="3"/>
      <c r="G117" s="3"/>
      <c r="I117"/>
      <c r="J117"/>
      <c r="K117"/>
      <c r="L117"/>
      <c r="M117"/>
      <c r="N117"/>
      <c r="O117"/>
      <c r="P117"/>
      <c r="Q117"/>
      <c r="R117"/>
      <c r="S117"/>
    </row>
    <row r="118" spans="1:19" s="2" customFormat="1" x14ac:dyDescent="0.25">
      <c r="A118"/>
      <c r="B118"/>
      <c r="C118" s="1"/>
      <c r="D118" s="1"/>
      <c r="E118" s="3"/>
      <c r="F118" s="3"/>
      <c r="G118" s="3"/>
      <c r="I118"/>
      <c r="J118"/>
      <c r="K118"/>
      <c r="L118"/>
      <c r="M118"/>
      <c r="N118"/>
      <c r="O118"/>
      <c r="P118"/>
      <c r="Q118"/>
      <c r="R118"/>
      <c r="S118"/>
    </row>
    <row r="119" spans="1:19" s="2" customFormat="1" x14ac:dyDescent="0.25">
      <c r="A119"/>
      <c r="B119"/>
      <c r="C119" s="1"/>
      <c r="D119" s="1"/>
      <c r="E119" s="3"/>
      <c r="F119" s="3"/>
      <c r="I119"/>
      <c r="J119"/>
      <c r="K119"/>
      <c r="L119"/>
      <c r="M119"/>
      <c r="N119"/>
      <c r="O119"/>
      <c r="P119"/>
      <c r="Q119"/>
      <c r="R119"/>
      <c r="S119"/>
    </row>
    <row r="120" spans="1:19" s="2" customFormat="1" x14ac:dyDescent="0.25">
      <c r="A120"/>
      <c r="B120"/>
      <c r="C120" s="1"/>
      <c r="D120" s="1"/>
      <c r="E120" s="3"/>
      <c r="F120" s="3"/>
      <c r="I120"/>
      <c r="J120"/>
      <c r="K120"/>
      <c r="L120"/>
      <c r="M120"/>
      <c r="N120"/>
      <c r="O120"/>
      <c r="P120"/>
      <c r="Q120"/>
      <c r="R120"/>
      <c r="S120"/>
    </row>
    <row r="121" spans="1:19" s="2" customFormat="1" x14ac:dyDescent="0.25">
      <c r="A121"/>
      <c r="B121"/>
      <c r="C121" s="1"/>
      <c r="D121" s="1"/>
      <c r="E121" s="3"/>
      <c r="F121" s="3"/>
      <c r="I121"/>
      <c r="J121"/>
      <c r="K121"/>
      <c r="L121"/>
      <c r="M121"/>
      <c r="N121"/>
      <c r="O121"/>
      <c r="P121"/>
      <c r="Q121"/>
      <c r="R121"/>
      <c r="S121"/>
    </row>
    <row r="122" spans="1:19" s="2" customFormat="1" x14ac:dyDescent="0.25">
      <c r="A122"/>
      <c r="B122"/>
      <c r="C122" s="1"/>
      <c r="D122" s="1"/>
      <c r="E122" s="3"/>
      <c r="F122" s="3"/>
      <c r="I122"/>
      <c r="J122"/>
      <c r="K122"/>
      <c r="L122"/>
      <c r="M122"/>
      <c r="N122"/>
      <c r="O122"/>
      <c r="P122"/>
      <c r="Q122"/>
      <c r="R122"/>
      <c r="S122"/>
    </row>
    <row r="123" spans="1:19" s="2" customFormat="1" x14ac:dyDescent="0.25">
      <c r="A123"/>
      <c r="B123"/>
      <c r="C123" s="1"/>
      <c r="D123" s="1"/>
      <c r="E123" s="3"/>
      <c r="F123" s="3"/>
      <c r="I123"/>
      <c r="J123"/>
      <c r="K123"/>
      <c r="L123"/>
      <c r="M123"/>
      <c r="N123"/>
      <c r="O123"/>
      <c r="P123"/>
      <c r="Q123"/>
      <c r="R123"/>
      <c r="S123"/>
    </row>
    <row r="124" spans="1:19" s="2" customFormat="1" x14ac:dyDescent="0.25">
      <c r="A124"/>
      <c r="B124"/>
      <c r="C124" s="1"/>
      <c r="D124" s="1"/>
      <c r="E124" s="3"/>
      <c r="F124" s="3"/>
      <c r="I124"/>
      <c r="J124"/>
      <c r="K124"/>
      <c r="L124"/>
      <c r="M124"/>
      <c r="N124"/>
      <c r="O124"/>
      <c r="P124"/>
      <c r="Q124"/>
      <c r="R124"/>
      <c r="S124"/>
    </row>
    <row r="125" spans="1:19" s="2" customFormat="1" x14ac:dyDescent="0.25">
      <c r="A125"/>
      <c r="B125"/>
      <c r="C125" s="1"/>
      <c r="D125" s="1"/>
      <c r="E125" s="3"/>
      <c r="F125" s="3"/>
      <c r="G125" s="3"/>
      <c r="I125"/>
      <c r="J125"/>
      <c r="K125"/>
      <c r="L125"/>
      <c r="M125"/>
      <c r="N125"/>
      <c r="O125"/>
      <c r="P125"/>
      <c r="Q125"/>
      <c r="R125"/>
      <c r="S125"/>
    </row>
    <row r="126" spans="1:19" s="2" customFormat="1" x14ac:dyDescent="0.25">
      <c r="A126"/>
      <c r="B126"/>
      <c r="C126" s="1"/>
      <c r="D126" s="1"/>
      <c r="E126" s="3"/>
      <c r="F126" s="3"/>
      <c r="G126" s="3"/>
      <c r="I126"/>
      <c r="J126"/>
      <c r="K126"/>
      <c r="L126"/>
      <c r="M126"/>
      <c r="N126"/>
      <c r="O126"/>
      <c r="P126"/>
      <c r="Q126"/>
      <c r="R126"/>
      <c r="S126"/>
    </row>
    <row r="127" spans="1:19" s="2" customFormat="1" x14ac:dyDescent="0.25">
      <c r="A127"/>
      <c r="B127"/>
      <c r="C127" s="1"/>
      <c r="D127" s="1"/>
      <c r="E127" s="3"/>
      <c r="F127" s="3"/>
      <c r="G127" s="3"/>
      <c r="I127"/>
      <c r="J127"/>
      <c r="K127"/>
      <c r="L127"/>
      <c r="M127"/>
      <c r="N127"/>
      <c r="O127"/>
      <c r="P127"/>
      <c r="Q127"/>
      <c r="R127"/>
      <c r="S127"/>
    </row>
    <row r="128" spans="1:19" s="2" customFormat="1" x14ac:dyDescent="0.25">
      <c r="A128"/>
      <c r="B128"/>
      <c r="C128" s="1"/>
      <c r="D128" s="1"/>
      <c r="E128" s="3"/>
      <c r="F128" s="3"/>
      <c r="G128" s="3"/>
      <c r="I128"/>
      <c r="J128"/>
      <c r="K128"/>
      <c r="L128"/>
      <c r="M128"/>
      <c r="N128"/>
      <c r="O128"/>
      <c r="P128"/>
      <c r="Q128"/>
      <c r="R128"/>
      <c r="S128"/>
    </row>
    <row r="129" spans="1:19" s="2" customFormat="1" x14ac:dyDescent="0.25">
      <c r="A129"/>
      <c r="B129"/>
      <c r="C129" s="1"/>
      <c r="D129" s="1"/>
      <c r="E129" s="3"/>
      <c r="F129" s="3"/>
      <c r="G129" s="3"/>
      <c r="I129"/>
      <c r="J129"/>
      <c r="K129"/>
      <c r="L129"/>
      <c r="M129"/>
      <c r="N129"/>
      <c r="O129"/>
      <c r="P129"/>
      <c r="Q129"/>
      <c r="R129"/>
      <c r="S129"/>
    </row>
    <row r="130" spans="1:19" s="2" customFormat="1" x14ac:dyDescent="0.25">
      <c r="A130"/>
      <c r="B130"/>
      <c r="C130" s="1"/>
      <c r="D130" s="1"/>
      <c r="E130" s="3"/>
      <c r="F130" s="3"/>
      <c r="G130" s="3"/>
      <c r="I130"/>
      <c r="J130"/>
      <c r="K130"/>
      <c r="L130"/>
      <c r="M130"/>
      <c r="N130"/>
      <c r="O130"/>
      <c r="P130"/>
      <c r="Q130"/>
      <c r="R130"/>
      <c r="S130"/>
    </row>
    <row r="131" spans="1:19" s="2" customFormat="1" x14ac:dyDescent="0.25">
      <c r="A131"/>
      <c r="B131"/>
      <c r="C131" s="1"/>
      <c r="D131" s="1"/>
      <c r="E131" s="3"/>
      <c r="F131" s="3"/>
      <c r="G131" s="3"/>
      <c r="I131"/>
      <c r="J131"/>
      <c r="K131"/>
      <c r="L131"/>
      <c r="M131"/>
      <c r="N131"/>
      <c r="O131"/>
      <c r="P131"/>
      <c r="Q131"/>
      <c r="R131"/>
      <c r="S131"/>
    </row>
    <row r="132" spans="1:19" s="2" customFormat="1" x14ac:dyDescent="0.25">
      <c r="A132"/>
      <c r="B132"/>
      <c r="C132" s="1"/>
      <c r="D132" s="1"/>
      <c r="E132" s="3"/>
      <c r="F132" s="3"/>
      <c r="G132" s="3"/>
      <c r="I132"/>
      <c r="J132"/>
      <c r="K132"/>
      <c r="L132"/>
      <c r="M132"/>
      <c r="N132"/>
      <c r="O132"/>
      <c r="P132"/>
      <c r="Q132"/>
      <c r="R132"/>
      <c r="S132"/>
    </row>
    <row r="133" spans="1:19" s="2" customFormat="1" x14ac:dyDescent="0.25">
      <c r="A133" s="1"/>
      <c r="B133" s="1"/>
      <c r="C133" s="1"/>
      <c r="D133" s="1"/>
      <c r="E133" s="3"/>
      <c r="F133" s="3"/>
      <c r="G133" s="3"/>
      <c r="I133"/>
      <c r="J133"/>
      <c r="K133"/>
      <c r="L133"/>
      <c r="M133"/>
      <c r="N133"/>
      <c r="O133"/>
      <c r="P133"/>
      <c r="Q133"/>
      <c r="R133"/>
      <c r="S133"/>
    </row>
    <row r="134" spans="1:19" s="2" customFormat="1" x14ac:dyDescent="0.25">
      <c r="A134"/>
      <c r="B134"/>
      <c r="C134" s="1"/>
      <c r="D134" s="1"/>
      <c r="E134" s="3"/>
      <c r="F134" s="3"/>
      <c r="I134"/>
      <c r="J134"/>
      <c r="K134"/>
      <c r="L134"/>
      <c r="M134"/>
      <c r="N134"/>
      <c r="O134"/>
      <c r="P134"/>
      <c r="Q134"/>
      <c r="R134"/>
      <c r="S134"/>
    </row>
    <row r="135" spans="1:19" s="2" customFormat="1" x14ac:dyDescent="0.25">
      <c r="A135" s="1"/>
      <c r="B135" s="1"/>
      <c r="C135" s="1"/>
      <c r="D135" s="1"/>
      <c r="E135" s="3"/>
      <c r="F135" s="3"/>
      <c r="G135" s="3"/>
      <c r="I135"/>
      <c r="J135"/>
      <c r="K135"/>
      <c r="L135"/>
      <c r="M135"/>
      <c r="N135"/>
      <c r="O135"/>
      <c r="P135"/>
      <c r="Q135"/>
      <c r="R135"/>
      <c r="S135"/>
    </row>
    <row r="150" spans="4:8" x14ac:dyDescent="0.25">
      <c r="D150" s="14"/>
      <c r="E150" s="13"/>
      <c r="F150" s="13"/>
      <c r="G150" s="13"/>
      <c r="H150" s="13"/>
    </row>
    <row r="151" spans="4:8" x14ac:dyDescent="0.25">
      <c r="H151" s="15"/>
    </row>
    <row r="152" spans="4:8" x14ac:dyDescent="0.25">
      <c r="H152" s="15"/>
    </row>
    <row r="153" spans="4:8" x14ac:dyDescent="0.25">
      <c r="H153" s="15"/>
    </row>
    <row r="154" spans="4:8" x14ac:dyDescent="0.25">
      <c r="H154" s="15"/>
    </row>
    <row r="155" spans="4:8" x14ac:dyDescent="0.25">
      <c r="H155" s="15"/>
    </row>
    <row r="156" spans="4:8" x14ac:dyDescent="0.25">
      <c r="H156" s="15"/>
    </row>
    <row r="157" spans="4:8" x14ac:dyDescent="0.25">
      <c r="H157" s="15"/>
    </row>
    <row r="158" spans="4:8" x14ac:dyDescent="0.25">
      <c r="H158" s="15"/>
    </row>
    <row r="159" spans="4:8" x14ac:dyDescent="0.25">
      <c r="H159" s="15"/>
    </row>
    <row r="160" spans="4:8" x14ac:dyDescent="0.25">
      <c r="H160" s="15"/>
    </row>
    <row r="161" spans="8:8" x14ac:dyDescent="0.25">
      <c r="H161" s="15"/>
    </row>
  </sheetData>
  <printOptions gridLines="1"/>
  <pageMargins left="0.31496062992125984" right="0.31496062992125984" top="0.35433070866141736" bottom="0.35433070866141736" header="0.31496062992125984" footer="0.31496062992125984"/>
  <pageSetup paperSize="9" scale="10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140"/>
  <sheetViews>
    <sheetView workbookViewId="0">
      <pane xSplit="4" ySplit="3" topLeftCell="E4" activePane="bottomRight" state="frozen"/>
      <selection activeCell="E41" sqref="E41"/>
      <selection pane="topRight" activeCell="E41" sqref="E41"/>
      <selection pane="bottomLeft" activeCell="E41" sqref="E41"/>
      <selection pane="bottomRight" activeCell="D47" sqref="D47:E56"/>
    </sheetView>
  </sheetViews>
  <sheetFormatPr defaultRowHeight="15" x14ac:dyDescent="0.25"/>
  <cols>
    <col min="3" max="3" width="11.28515625" customWidth="1"/>
    <col min="4" max="4" width="32.5703125" customWidth="1"/>
    <col min="5" max="7" width="9.28515625" style="2" customWidth="1"/>
    <col min="8" max="8" width="8.7109375" style="2"/>
  </cols>
  <sheetData>
    <row r="1" spans="1:11" ht="18.600000000000001" x14ac:dyDescent="0.45">
      <c r="A1" s="1"/>
      <c r="B1" s="1"/>
      <c r="D1" s="11" t="s">
        <v>220</v>
      </c>
    </row>
    <row r="2" spans="1:11" ht="14.45" x14ac:dyDescent="0.35">
      <c r="A2" s="1"/>
      <c r="B2" s="1"/>
      <c r="D2" s="1" t="s">
        <v>138</v>
      </c>
    </row>
    <row r="3" spans="1:11" ht="14.45" x14ac:dyDescent="0.35">
      <c r="A3" s="1" t="s">
        <v>136</v>
      </c>
      <c r="B3" s="1" t="s">
        <v>137</v>
      </c>
      <c r="C3" s="1" t="s">
        <v>0</v>
      </c>
      <c r="D3" s="1"/>
      <c r="E3" s="12" t="s">
        <v>28</v>
      </c>
      <c r="F3" s="12" t="s">
        <v>29</v>
      </c>
      <c r="G3" s="12" t="s">
        <v>30</v>
      </c>
      <c r="H3" s="3"/>
    </row>
    <row r="4" spans="1:11" ht="14.45" x14ac:dyDescent="0.35">
      <c r="A4" s="2"/>
      <c r="B4" s="2"/>
      <c r="C4" s="1"/>
      <c r="D4" s="5" t="s">
        <v>33</v>
      </c>
      <c r="E4" s="3"/>
      <c r="F4" s="3"/>
      <c r="G4" s="3"/>
    </row>
    <row r="5" spans="1:11" ht="14.45" x14ac:dyDescent="0.35">
      <c r="A5" s="2"/>
      <c r="B5" s="2"/>
      <c r="C5" s="17"/>
      <c r="D5" s="17"/>
      <c r="E5" s="3"/>
      <c r="F5" s="3"/>
      <c r="G5" s="3"/>
    </row>
    <row r="6" spans="1:11" ht="14.45" x14ac:dyDescent="0.35">
      <c r="A6" s="19"/>
      <c r="B6" s="2">
        <f>SUM(A6/12)*9</f>
        <v>0</v>
      </c>
      <c r="C6">
        <v>1000</v>
      </c>
      <c r="D6" t="s">
        <v>140</v>
      </c>
      <c r="E6" s="3"/>
      <c r="F6" s="3"/>
      <c r="G6" s="3">
        <f t="shared" ref="G6:G18" si="0">SUM(F6-E6)</f>
        <v>0</v>
      </c>
      <c r="H6"/>
      <c r="I6" s="18"/>
      <c r="J6" s="19"/>
      <c r="K6" s="19"/>
    </row>
    <row r="7" spans="1:11" ht="14.45" x14ac:dyDescent="0.35">
      <c r="A7" s="40">
        <v>1200</v>
      </c>
      <c r="B7" s="2">
        <f t="shared" ref="B7:B18" si="1">SUM(A7/12)*9</f>
        <v>900</v>
      </c>
      <c r="C7">
        <v>1100</v>
      </c>
      <c r="D7" t="s">
        <v>141</v>
      </c>
      <c r="E7" s="3">
        <v>1200</v>
      </c>
      <c r="F7" s="3">
        <v>580</v>
      </c>
      <c r="G7" s="3">
        <f t="shared" si="0"/>
        <v>-620</v>
      </c>
      <c r="H7"/>
      <c r="I7" s="18"/>
      <c r="J7" s="19"/>
      <c r="K7" s="19"/>
    </row>
    <row r="8" spans="1:11" ht="14.45" x14ac:dyDescent="0.35">
      <c r="A8" s="40">
        <f>9.2*600</f>
        <v>5520</v>
      </c>
      <c r="B8" s="2">
        <f t="shared" si="1"/>
        <v>4140</v>
      </c>
      <c r="C8">
        <v>1300</v>
      </c>
      <c r="D8" t="s">
        <v>142</v>
      </c>
      <c r="E8" s="3">
        <v>5520</v>
      </c>
      <c r="F8" s="3">
        <f>480+3207+1628</f>
        <v>5315</v>
      </c>
      <c r="G8" s="3">
        <f t="shared" si="0"/>
        <v>-205</v>
      </c>
      <c r="H8"/>
      <c r="I8" s="18"/>
      <c r="J8" s="19"/>
      <c r="K8" s="19"/>
    </row>
    <row r="9" spans="1:11" ht="14.45" x14ac:dyDescent="0.35">
      <c r="A9" s="40">
        <v>9000</v>
      </c>
      <c r="B9" s="2">
        <f t="shared" si="1"/>
        <v>6750</v>
      </c>
      <c r="C9">
        <v>1400</v>
      </c>
      <c r="D9" t="s">
        <v>143</v>
      </c>
      <c r="E9" s="3">
        <v>6750</v>
      </c>
      <c r="F9" s="3">
        <f>1861.4+3309.71</f>
        <v>5171.1100000000006</v>
      </c>
      <c r="G9" s="3">
        <f t="shared" si="0"/>
        <v>-1578.8899999999994</v>
      </c>
      <c r="H9"/>
      <c r="I9" s="18"/>
      <c r="J9" s="19"/>
      <c r="K9" s="19"/>
    </row>
    <row r="10" spans="1:11" ht="14.45" x14ac:dyDescent="0.35">
      <c r="A10" s="40">
        <f>15*1000</f>
        <v>15000</v>
      </c>
      <c r="B10" s="2">
        <f t="shared" si="1"/>
        <v>11250</v>
      </c>
      <c r="C10">
        <v>1450</v>
      </c>
      <c r="D10" t="s">
        <v>144</v>
      </c>
      <c r="E10" s="3">
        <v>15000</v>
      </c>
      <c r="F10" s="3">
        <v>15000</v>
      </c>
      <c r="G10" s="3">
        <f t="shared" si="0"/>
        <v>0</v>
      </c>
      <c r="H10"/>
      <c r="I10" s="18"/>
      <c r="J10" s="19"/>
      <c r="K10" s="19"/>
    </row>
    <row r="11" spans="1:11" ht="14.45" x14ac:dyDescent="0.35">
      <c r="A11" s="40"/>
      <c r="B11" s="2">
        <f t="shared" si="1"/>
        <v>0</v>
      </c>
      <c r="C11">
        <v>1500</v>
      </c>
      <c r="D11" t="s">
        <v>145</v>
      </c>
      <c r="E11" s="3"/>
      <c r="F11" s="3">
        <v>2640</v>
      </c>
      <c r="G11" s="3">
        <f t="shared" si="0"/>
        <v>2640</v>
      </c>
      <c r="H11"/>
      <c r="I11" s="18"/>
      <c r="J11" s="19"/>
      <c r="K11" s="19"/>
    </row>
    <row r="12" spans="1:11" x14ac:dyDescent="0.25">
      <c r="A12" s="40"/>
      <c r="B12" s="2">
        <f t="shared" si="1"/>
        <v>0</v>
      </c>
      <c r="C12">
        <v>1570</v>
      </c>
      <c r="D12" t="s">
        <v>146</v>
      </c>
      <c r="E12" s="3"/>
      <c r="F12" s="3"/>
      <c r="G12" s="3">
        <f t="shared" si="0"/>
        <v>0</v>
      </c>
      <c r="H12"/>
      <c r="I12" s="18"/>
      <c r="J12" s="19"/>
      <c r="K12" s="19"/>
    </row>
    <row r="13" spans="1:11" x14ac:dyDescent="0.25">
      <c r="A13" s="40"/>
      <c r="B13" s="2">
        <f t="shared" si="1"/>
        <v>0</v>
      </c>
      <c r="C13">
        <v>1580</v>
      </c>
      <c r="D13" t="s">
        <v>147</v>
      </c>
      <c r="E13" s="3"/>
      <c r="F13" s="3"/>
      <c r="G13" s="3">
        <f t="shared" si="0"/>
        <v>0</v>
      </c>
      <c r="H13"/>
      <c r="I13" s="18"/>
      <c r="J13" s="19"/>
      <c r="K13" s="19"/>
    </row>
    <row r="14" spans="1:11" x14ac:dyDescent="0.25">
      <c r="A14" s="40"/>
      <c r="B14" s="2">
        <f t="shared" si="1"/>
        <v>0</v>
      </c>
      <c r="C14">
        <v>1600</v>
      </c>
      <c r="D14" t="s">
        <v>148</v>
      </c>
      <c r="E14" s="3"/>
      <c r="F14" s="3">
        <f>-524.4-262.2</f>
        <v>-786.59999999999991</v>
      </c>
      <c r="G14" s="3">
        <f t="shared" si="0"/>
        <v>-786.59999999999991</v>
      </c>
      <c r="H14"/>
      <c r="I14" s="18"/>
      <c r="J14" s="19"/>
      <c r="K14" s="19"/>
    </row>
    <row r="15" spans="1:11" x14ac:dyDescent="0.25">
      <c r="A15" s="40"/>
      <c r="B15" s="2">
        <f t="shared" si="1"/>
        <v>0</v>
      </c>
      <c r="C15">
        <v>1650</v>
      </c>
      <c r="D15" t="s">
        <v>149</v>
      </c>
      <c r="E15" s="3"/>
      <c r="F15" s="3">
        <v>1400</v>
      </c>
      <c r="G15" s="3">
        <f t="shared" si="0"/>
        <v>1400</v>
      </c>
      <c r="H15"/>
      <c r="I15" s="18"/>
      <c r="J15" s="19"/>
      <c r="K15" s="19"/>
    </row>
    <row r="16" spans="1:11" x14ac:dyDescent="0.25">
      <c r="A16" s="40"/>
      <c r="B16" s="2">
        <f t="shared" si="1"/>
        <v>0</v>
      </c>
      <c r="C16">
        <v>1750</v>
      </c>
      <c r="D16" t="s">
        <v>150</v>
      </c>
      <c r="E16" s="3"/>
      <c r="F16" s="3">
        <v>660</v>
      </c>
      <c r="G16" s="3">
        <f t="shared" si="0"/>
        <v>660</v>
      </c>
      <c r="H16"/>
      <c r="I16" s="18"/>
      <c r="J16" s="19"/>
      <c r="K16" s="19"/>
    </row>
    <row r="17" spans="1:11" x14ac:dyDescent="0.25">
      <c r="A17" s="40"/>
      <c r="B17" s="2">
        <f t="shared" si="1"/>
        <v>0</v>
      </c>
      <c r="C17">
        <v>1900</v>
      </c>
      <c r="D17" t="s">
        <v>151</v>
      </c>
      <c r="E17" s="3"/>
      <c r="F17" s="3">
        <f>1000+3520+7000</f>
        <v>11520</v>
      </c>
      <c r="G17" s="3">
        <f t="shared" si="0"/>
        <v>11520</v>
      </c>
      <c r="H17"/>
      <c r="I17" s="18"/>
      <c r="J17" s="19"/>
      <c r="K17" s="19"/>
    </row>
    <row r="18" spans="1:11" x14ac:dyDescent="0.25">
      <c r="A18" s="40">
        <v>35000</v>
      </c>
      <c r="B18" s="2">
        <f t="shared" si="1"/>
        <v>26250</v>
      </c>
      <c r="C18">
        <v>5500</v>
      </c>
      <c r="D18" t="s">
        <v>152</v>
      </c>
      <c r="E18" s="3">
        <v>35000</v>
      </c>
      <c r="F18" s="3">
        <v>46361</v>
      </c>
      <c r="G18" s="3">
        <f t="shared" si="0"/>
        <v>11361</v>
      </c>
      <c r="H18"/>
      <c r="I18" s="18"/>
      <c r="J18" s="19"/>
      <c r="K18" s="19"/>
    </row>
    <row r="19" spans="1:11" x14ac:dyDescent="0.25">
      <c r="A19" s="2"/>
      <c r="B19" s="2"/>
      <c r="C19" s="1"/>
      <c r="D19" s="1"/>
      <c r="F19" s="3"/>
      <c r="G19" s="3"/>
      <c r="H19" s="3"/>
      <c r="J19" s="19"/>
      <c r="K19" s="19"/>
    </row>
    <row r="20" spans="1:11" x14ac:dyDescent="0.25">
      <c r="A20" s="6">
        <f>SUM(A5:A19)</f>
        <v>65720</v>
      </c>
      <c r="B20" s="6">
        <f>SUM(B5:B19)</f>
        <v>49290</v>
      </c>
      <c r="C20" s="1"/>
      <c r="D20" s="4" t="s">
        <v>32</v>
      </c>
      <c r="E20" s="6">
        <f>SUM(E5:E19)</f>
        <v>63470</v>
      </c>
      <c r="F20" s="6">
        <f>SUM(F5:F19)</f>
        <v>87860.510000000009</v>
      </c>
      <c r="G20" s="6">
        <f>SUM(G5:G19)</f>
        <v>24390.510000000002</v>
      </c>
      <c r="H20" s="6">
        <f>SUM(H5:H19)</f>
        <v>0</v>
      </c>
      <c r="J20" s="19"/>
      <c r="K20" s="19"/>
    </row>
    <row r="21" spans="1:11" x14ac:dyDescent="0.25">
      <c r="A21" s="2"/>
      <c r="B21" s="2"/>
      <c r="C21" s="1"/>
      <c r="D21" s="1"/>
      <c r="E21" s="3"/>
      <c r="F21" s="3"/>
      <c r="G21" s="3"/>
      <c r="H21" s="3"/>
      <c r="J21" s="19"/>
      <c r="K21" s="19"/>
    </row>
    <row r="22" spans="1:11" x14ac:dyDescent="0.25">
      <c r="A22" s="2"/>
      <c r="B22" s="2"/>
      <c r="C22" s="1"/>
      <c r="D22" s="5" t="s">
        <v>31</v>
      </c>
      <c r="E22" s="3"/>
      <c r="F22" s="3"/>
      <c r="G22" s="3"/>
      <c r="H22" s="3"/>
      <c r="J22" s="19"/>
      <c r="K22" s="19"/>
    </row>
    <row r="23" spans="1:11" x14ac:dyDescent="0.25">
      <c r="A23" s="19"/>
      <c r="B23" s="2">
        <f t="shared" ref="B23:B39" si="2">SUM(A23/12)*9</f>
        <v>0</v>
      </c>
      <c r="C23">
        <v>3000</v>
      </c>
      <c r="D23" t="s">
        <v>153</v>
      </c>
      <c r="F23" s="3"/>
      <c r="G23" s="3">
        <f t="shared" ref="G23:G36" si="3">SUM(F23-E23)</f>
        <v>0</v>
      </c>
      <c r="H23"/>
      <c r="I23" s="18"/>
      <c r="J23" s="19"/>
      <c r="K23" s="19"/>
    </row>
    <row r="24" spans="1:11" x14ac:dyDescent="0.25">
      <c r="A24" s="40">
        <v>3800</v>
      </c>
      <c r="B24" s="2">
        <f t="shared" si="2"/>
        <v>2850</v>
      </c>
      <c r="C24">
        <v>3040</v>
      </c>
      <c r="D24" t="s">
        <v>154</v>
      </c>
      <c r="E24" s="2">
        <v>3800</v>
      </c>
      <c r="F24" s="3">
        <v>4197.5</v>
      </c>
      <c r="G24" s="3">
        <f t="shared" si="3"/>
        <v>397.5</v>
      </c>
      <c r="H24"/>
      <c r="I24" s="18"/>
      <c r="J24" s="19"/>
      <c r="K24" s="19"/>
    </row>
    <row r="25" spans="1:11" x14ac:dyDescent="0.25">
      <c r="A25" s="40">
        <v>36000</v>
      </c>
      <c r="B25" s="2">
        <f t="shared" si="2"/>
        <v>27000</v>
      </c>
      <c r="C25">
        <v>3050</v>
      </c>
      <c r="D25" t="s">
        <v>155</v>
      </c>
      <c r="E25" s="2">
        <v>27000</v>
      </c>
      <c r="F25" s="3">
        <v>23956.240000000002</v>
      </c>
      <c r="G25" s="3">
        <f t="shared" si="3"/>
        <v>-3043.7599999999984</v>
      </c>
      <c r="H25"/>
      <c r="I25" s="18"/>
      <c r="J25" s="19"/>
      <c r="K25" s="19"/>
    </row>
    <row r="26" spans="1:11" x14ac:dyDescent="0.25">
      <c r="A26" s="40">
        <v>5000</v>
      </c>
      <c r="B26" s="2">
        <f t="shared" si="2"/>
        <v>3750</v>
      </c>
      <c r="C26">
        <v>3100</v>
      </c>
      <c r="D26" t="s">
        <v>156</v>
      </c>
      <c r="E26" s="2">
        <v>5000</v>
      </c>
      <c r="F26" s="3"/>
      <c r="G26" s="3">
        <f t="shared" si="3"/>
        <v>-5000</v>
      </c>
      <c r="H26"/>
      <c r="I26" s="18"/>
      <c r="J26" s="19"/>
      <c r="K26" s="19"/>
    </row>
    <row r="27" spans="1:11" x14ac:dyDescent="0.25">
      <c r="A27" s="40">
        <v>3500</v>
      </c>
      <c r="B27" s="2">
        <f t="shared" si="2"/>
        <v>2625</v>
      </c>
      <c r="C27">
        <v>3150</v>
      </c>
      <c r="D27" t="s">
        <v>157</v>
      </c>
      <c r="E27" s="2">
        <v>2625</v>
      </c>
      <c r="F27" s="3">
        <v>2631.73</v>
      </c>
      <c r="G27" s="3">
        <f t="shared" si="3"/>
        <v>6.7300000000000182</v>
      </c>
      <c r="H27"/>
      <c r="I27" s="18"/>
      <c r="J27" s="19"/>
      <c r="K27" s="19"/>
    </row>
    <row r="28" spans="1:11" x14ac:dyDescent="0.25">
      <c r="A28" s="40"/>
      <c r="B28" s="2">
        <f t="shared" si="2"/>
        <v>0</v>
      </c>
      <c r="C28">
        <v>3200</v>
      </c>
      <c r="D28" t="s">
        <v>158</v>
      </c>
      <c r="F28" s="3"/>
      <c r="G28" s="3">
        <f t="shared" si="3"/>
        <v>0</v>
      </c>
      <c r="H28"/>
      <c r="I28" s="18"/>
      <c r="J28" s="19"/>
      <c r="K28" s="19"/>
    </row>
    <row r="29" spans="1:11" x14ac:dyDescent="0.25">
      <c r="A29" s="40">
        <v>1500</v>
      </c>
      <c r="B29" s="2">
        <f t="shared" si="2"/>
        <v>1125</v>
      </c>
      <c r="C29">
        <v>3260</v>
      </c>
      <c r="D29" t="s">
        <v>159</v>
      </c>
      <c r="E29" s="2">
        <v>1125</v>
      </c>
      <c r="F29" s="3"/>
      <c r="G29" s="3">
        <f t="shared" si="3"/>
        <v>-1125</v>
      </c>
      <c r="H29"/>
      <c r="I29" s="18"/>
      <c r="J29" s="19"/>
      <c r="K29" s="19"/>
    </row>
    <row r="30" spans="1:11" x14ac:dyDescent="0.25">
      <c r="A30" s="40">
        <v>4000</v>
      </c>
      <c r="B30" s="2">
        <f t="shared" si="2"/>
        <v>3000</v>
      </c>
      <c r="C30">
        <v>3500</v>
      </c>
      <c r="D30" t="s">
        <v>160</v>
      </c>
      <c r="E30" s="2">
        <v>3000</v>
      </c>
      <c r="F30" s="3">
        <v>2209.36</v>
      </c>
      <c r="G30" s="3">
        <f t="shared" si="3"/>
        <v>-790.63999999999987</v>
      </c>
      <c r="H30"/>
      <c r="I30" s="18"/>
      <c r="J30" s="19"/>
      <c r="K30" s="19"/>
    </row>
    <row r="31" spans="1:11" x14ac:dyDescent="0.25">
      <c r="A31" s="40">
        <v>2500</v>
      </c>
      <c r="B31" s="2">
        <f t="shared" si="2"/>
        <v>1875</v>
      </c>
      <c r="C31">
        <v>3550</v>
      </c>
      <c r="D31" t="s">
        <v>161</v>
      </c>
      <c r="E31" s="2">
        <v>1875</v>
      </c>
      <c r="F31" s="3">
        <v>581.13</v>
      </c>
      <c r="G31" s="3">
        <f t="shared" si="3"/>
        <v>-1293.8699999999999</v>
      </c>
      <c r="H31"/>
      <c r="I31" s="18"/>
      <c r="J31" s="19"/>
      <c r="K31" s="19"/>
    </row>
    <row r="32" spans="1:11" x14ac:dyDescent="0.25">
      <c r="A32" s="40">
        <v>1500</v>
      </c>
      <c r="B32" s="2">
        <f t="shared" si="2"/>
        <v>1125</v>
      </c>
      <c r="C32">
        <v>3700</v>
      </c>
      <c r="D32" t="s">
        <v>162</v>
      </c>
      <c r="E32" s="2">
        <v>1125</v>
      </c>
      <c r="F32" s="3"/>
      <c r="G32" s="3">
        <f t="shared" si="3"/>
        <v>-1125</v>
      </c>
      <c r="H32"/>
      <c r="I32" s="18"/>
      <c r="J32" s="19"/>
      <c r="K32" s="19"/>
    </row>
    <row r="33" spans="1:21" x14ac:dyDescent="0.25">
      <c r="A33" s="40">
        <v>1500</v>
      </c>
      <c r="B33" s="2">
        <f t="shared" si="2"/>
        <v>1125</v>
      </c>
      <c r="C33">
        <v>3710</v>
      </c>
      <c r="D33" t="s">
        <v>163</v>
      </c>
      <c r="E33" s="2">
        <v>1125</v>
      </c>
      <c r="F33" s="3">
        <v>650</v>
      </c>
      <c r="G33" s="3">
        <f t="shared" si="3"/>
        <v>-475</v>
      </c>
      <c r="H33"/>
      <c r="I33" s="18"/>
      <c r="J33" s="19"/>
      <c r="K33" s="19"/>
    </row>
    <row r="34" spans="1:21" x14ac:dyDescent="0.25">
      <c r="A34" s="40"/>
      <c r="B34" s="2">
        <f t="shared" si="2"/>
        <v>0</v>
      </c>
      <c r="C34">
        <v>3801</v>
      </c>
      <c r="D34" t="s">
        <v>164</v>
      </c>
      <c r="F34" s="3">
        <f>240+660</f>
        <v>900</v>
      </c>
      <c r="G34" s="3">
        <f t="shared" si="3"/>
        <v>900</v>
      </c>
      <c r="H34"/>
      <c r="I34" s="18"/>
      <c r="J34" s="19"/>
      <c r="K34" s="19"/>
    </row>
    <row r="35" spans="1:21" x14ac:dyDescent="0.25">
      <c r="A35" s="40">
        <v>2500</v>
      </c>
      <c r="B35" s="2">
        <f t="shared" si="2"/>
        <v>1875</v>
      </c>
      <c r="C35">
        <v>3810</v>
      </c>
      <c r="D35" t="s">
        <v>165</v>
      </c>
      <c r="E35" s="2">
        <v>1875</v>
      </c>
      <c r="F35" s="3">
        <v>1972.92</v>
      </c>
      <c r="G35" s="3">
        <f t="shared" si="3"/>
        <v>97.920000000000073</v>
      </c>
      <c r="H35"/>
      <c r="I35" s="18"/>
      <c r="J35" s="19"/>
      <c r="K35" s="19"/>
    </row>
    <row r="36" spans="1:21" x14ac:dyDescent="0.25">
      <c r="A36" s="40">
        <v>3000</v>
      </c>
      <c r="B36" s="2">
        <f t="shared" si="2"/>
        <v>2250</v>
      </c>
      <c r="C36">
        <v>4550</v>
      </c>
      <c r="D36" t="s">
        <v>166</v>
      </c>
      <c r="E36" s="2">
        <v>2250</v>
      </c>
      <c r="F36" s="3">
        <v>900</v>
      </c>
      <c r="G36" s="3">
        <f t="shared" si="3"/>
        <v>-1350</v>
      </c>
      <c r="H36"/>
      <c r="I36" s="18"/>
      <c r="J36" s="19"/>
      <c r="K36" s="19"/>
    </row>
    <row r="37" spans="1:21" x14ac:dyDescent="0.25">
      <c r="A37" s="40"/>
      <c r="B37" s="2">
        <f t="shared" si="2"/>
        <v>0</v>
      </c>
      <c r="C37">
        <v>4640</v>
      </c>
      <c r="D37" t="s">
        <v>149</v>
      </c>
      <c r="E37" s="3"/>
      <c r="F37" s="3">
        <f>664.62+1768.77</f>
        <v>2433.39</v>
      </c>
      <c r="G37" s="3">
        <f>SUM(F37-E37)</f>
        <v>2433.39</v>
      </c>
      <c r="H37"/>
      <c r="I37" s="18"/>
      <c r="J37" s="19"/>
    </row>
    <row r="38" spans="1:21" x14ac:dyDescent="0.25">
      <c r="A38" s="19"/>
      <c r="B38" s="2">
        <f t="shared" si="2"/>
        <v>0</v>
      </c>
      <c r="C38">
        <v>4300</v>
      </c>
      <c r="D38" t="s">
        <v>22</v>
      </c>
      <c r="E38" s="3"/>
      <c r="F38" s="3">
        <v>3301.38</v>
      </c>
      <c r="G38" s="3">
        <f>SUM(F38-E38)</f>
        <v>3301.38</v>
      </c>
      <c r="H38"/>
      <c r="I38" s="18"/>
      <c r="J38" s="19"/>
      <c r="K38" s="19"/>
    </row>
    <row r="39" spans="1:21" x14ac:dyDescent="0.25">
      <c r="A39" s="19"/>
      <c r="B39" s="2">
        <f t="shared" si="2"/>
        <v>0</v>
      </c>
      <c r="D39" t="s">
        <v>167</v>
      </c>
      <c r="E39" s="3"/>
      <c r="F39" s="3"/>
      <c r="G39" s="3">
        <f>SUM(F39-E39)</f>
        <v>0</v>
      </c>
      <c r="H39"/>
      <c r="I39" s="18"/>
      <c r="J39" s="19"/>
      <c r="K39" s="19"/>
    </row>
    <row r="40" spans="1:21" x14ac:dyDescent="0.25">
      <c r="A40" s="3"/>
      <c r="B40" s="2"/>
      <c r="C40" s="1"/>
      <c r="D40" s="1"/>
      <c r="E40" s="3"/>
      <c r="G40" s="3"/>
      <c r="H40" s="3"/>
      <c r="I40" s="2"/>
    </row>
    <row r="41" spans="1:21" x14ac:dyDescent="0.25">
      <c r="A41" s="6">
        <f>SUM(A23:A40)</f>
        <v>64800</v>
      </c>
      <c r="B41" s="6">
        <f>SUM(B23:B40)</f>
        <v>48600</v>
      </c>
      <c r="C41" s="1" t="s">
        <v>1</v>
      </c>
      <c r="D41" s="4" t="s">
        <v>34</v>
      </c>
      <c r="E41" s="6">
        <f>SUM(E23:E40)</f>
        <v>50800</v>
      </c>
      <c r="F41" s="6">
        <f>SUM(F23:F40)</f>
        <v>43733.649999999994</v>
      </c>
      <c r="G41" s="6">
        <f>SUM(G23:G40)</f>
        <v>-7066.3499999999976</v>
      </c>
      <c r="H41" s="6"/>
      <c r="I41" s="6"/>
    </row>
    <row r="42" spans="1:21" x14ac:dyDescent="0.25">
      <c r="A42" s="3"/>
      <c r="B42" s="3"/>
      <c r="C42" s="1"/>
      <c r="D42" s="1"/>
      <c r="E42" s="3"/>
      <c r="F42" s="3"/>
      <c r="G42" s="3"/>
    </row>
    <row r="43" spans="1:21" s="7" customFormat="1" ht="15.75" x14ac:dyDescent="0.25">
      <c r="A43" s="9">
        <f>SUM(A20-A41)</f>
        <v>920</v>
      </c>
      <c r="B43" s="9">
        <f>SUM(B20-B41)</f>
        <v>690</v>
      </c>
      <c r="C43" s="8"/>
      <c r="D43" s="8" t="s">
        <v>35</v>
      </c>
      <c r="E43" s="9">
        <f>SUM(E20-E41)</f>
        <v>12670</v>
      </c>
      <c r="F43" s="9">
        <f>SUM(F20-F41)</f>
        <v>44126.860000000015</v>
      </c>
      <c r="G43" s="9">
        <f>SUM(G20-G41)</f>
        <v>31456.86</v>
      </c>
      <c r="H43" s="10"/>
    </row>
    <row r="44" spans="1:21" x14ac:dyDescent="0.25">
      <c r="A44" s="2"/>
      <c r="B44" s="2"/>
      <c r="C44" s="1"/>
      <c r="D44" s="1"/>
      <c r="E44" s="3"/>
      <c r="F44" s="3"/>
      <c r="G44" s="3"/>
    </row>
    <row r="45" spans="1:21" x14ac:dyDescent="0.25">
      <c r="A45" s="2"/>
      <c r="B45" s="2"/>
      <c r="C45" s="1"/>
      <c r="D45" s="1"/>
      <c r="E45" s="3"/>
      <c r="F45" s="3"/>
      <c r="G45" s="3"/>
    </row>
    <row r="46" spans="1:21" x14ac:dyDescent="0.25">
      <c r="A46" s="2"/>
      <c r="B46" s="2"/>
      <c r="C46" s="1"/>
      <c r="D46" s="1"/>
      <c r="E46" s="3"/>
      <c r="F46" s="3"/>
      <c r="G46" s="3"/>
    </row>
    <row r="47" spans="1:21" x14ac:dyDescent="0.25">
      <c r="A47" s="2"/>
      <c r="B47" s="2"/>
      <c r="C47" s="1"/>
      <c r="D47" s="1"/>
      <c r="E47" s="16" t="s">
        <v>139</v>
      </c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</row>
    <row r="48" spans="1:21" x14ac:dyDescent="0.25">
      <c r="A48" s="2"/>
      <c r="B48" s="2"/>
      <c r="C48" s="1" t="s">
        <v>168</v>
      </c>
      <c r="D48" s="1" t="s">
        <v>169</v>
      </c>
      <c r="E48" s="3">
        <v>41504.519999999997</v>
      </c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</row>
    <row r="49" spans="1:21" x14ac:dyDescent="0.25">
      <c r="A49" s="2"/>
      <c r="B49" s="2"/>
      <c r="C49" s="1" t="s">
        <v>171</v>
      </c>
      <c r="D49" s="1" t="s">
        <v>170</v>
      </c>
      <c r="E49" s="3">
        <v>79729.600000000006</v>
      </c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</row>
    <row r="50" spans="1:21" x14ac:dyDescent="0.25">
      <c r="A50" s="2"/>
      <c r="B50" s="2"/>
      <c r="C50" s="1"/>
      <c r="D50" s="1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</row>
    <row r="51" spans="1:21" x14ac:dyDescent="0.25">
      <c r="A51" s="2"/>
      <c r="B51" s="2"/>
      <c r="C51" s="1"/>
      <c r="D51" s="1" t="s">
        <v>36</v>
      </c>
      <c r="E51" s="3">
        <v>18421.650000000001</v>
      </c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</row>
    <row r="52" spans="1:21" x14ac:dyDescent="0.25">
      <c r="A52" s="2"/>
      <c r="B52" s="2"/>
      <c r="C52" s="1"/>
      <c r="D52" s="1" t="s">
        <v>37</v>
      </c>
      <c r="E52" s="3">
        <v>-1585.9</v>
      </c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</row>
    <row r="53" spans="1:21" x14ac:dyDescent="0.25">
      <c r="A53" s="2"/>
      <c r="B53" s="2"/>
      <c r="C53" s="1"/>
      <c r="D53" s="1" t="s">
        <v>38</v>
      </c>
      <c r="E53" s="3">
        <v>0</v>
      </c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</row>
    <row r="54" spans="1:21" x14ac:dyDescent="0.25">
      <c r="A54" s="2"/>
      <c r="B54" s="2"/>
      <c r="C54" s="1"/>
      <c r="D54" s="1" t="s">
        <v>39</v>
      </c>
      <c r="E54" s="3">
        <v>0</v>
      </c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</row>
    <row r="55" spans="1:21" x14ac:dyDescent="0.25">
      <c r="A55" s="2"/>
      <c r="B55" s="2"/>
      <c r="C55" s="1"/>
      <c r="D55" s="1" t="s">
        <v>40</v>
      </c>
      <c r="E55" s="3">
        <v>7487.31</v>
      </c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</row>
    <row r="56" spans="1:21" x14ac:dyDescent="0.25">
      <c r="A56" s="2"/>
      <c r="B56" s="2"/>
      <c r="C56" s="1"/>
      <c r="D56" s="4" t="s">
        <v>41</v>
      </c>
      <c r="E56" s="6">
        <f t="shared" ref="E56" si="4">SUM(E51:E55)</f>
        <v>24323.06</v>
      </c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</row>
    <row r="57" spans="1:21" x14ac:dyDescent="0.25">
      <c r="A57" s="2"/>
      <c r="B57" s="2"/>
      <c r="C57" s="1"/>
      <c r="D57" s="1"/>
      <c r="E57" s="3"/>
      <c r="F57" s="3"/>
      <c r="G57" s="3"/>
      <c r="H57" s="3"/>
      <c r="I57" s="3"/>
      <c r="J57" s="3"/>
      <c r="K57" s="3"/>
      <c r="L57" s="3"/>
      <c r="Q57" s="3"/>
      <c r="R57" s="3"/>
      <c r="S57" s="3"/>
      <c r="T57" s="3"/>
      <c r="U57" s="3"/>
    </row>
    <row r="58" spans="1:21" x14ac:dyDescent="0.25">
      <c r="A58" s="1"/>
      <c r="B58" s="1"/>
      <c r="C58" s="1"/>
      <c r="D58" s="1" t="s">
        <v>209</v>
      </c>
      <c r="E58" s="3"/>
      <c r="F58" s="3"/>
      <c r="G58" s="3"/>
      <c r="H58" s="3"/>
      <c r="I58" s="2"/>
      <c r="J58" s="3"/>
      <c r="K58" s="3"/>
    </row>
    <row r="59" spans="1:21" s="2" customFormat="1" x14ac:dyDescent="0.25">
      <c r="A59"/>
      <c r="B59"/>
      <c r="C59" s="1"/>
      <c r="D59" s="1" t="s">
        <v>210</v>
      </c>
      <c r="E59" s="3">
        <v>1455.73</v>
      </c>
      <c r="F59" s="3"/>
      <c r="G59" s="3"/>
      <c r="H59" s="3"/>
      <c r="J59" s="3"/>
      <c r="K59" s="3"/>
      <c r="L59"/>
      <c r="M59"/>
      <c r="N59"/>
      <c r="O59"/>
      <c r="P59"/>
      <c r="Q59"/>
      <c r="R59"/>
      <c r="S59"/>
      <c r="T59"/>
    </row>
    <row r="60" spans="1:21" s="2" customFormat="1" x14ac:dyDescent="0.25">
      <c r="A60"/>
      <c r="B60"/>
      <c r="C60" s="1"/>
      <c r="D60" s="1" t="s">
        <v>211</v>
      </c>
      <c r="E60" s="3">
        <v>3594.17</v>
      </c>
      <c r="F60" s="3"/>
      <c r="G60" s="3"/>
      <c r="I60" s="3"/>
      <c r="J60" s="3"/>
      <c r="K60"/>
      <c r="L60"/>
      <c r="M60"/>
      <c r="N60"/>
      <c r="O60"/>
      <c r="P60"/>
      <c r="Q60"/>
      <c r="R60"/>
      <c r="S60"/>
    </row>
    <row r="61" spans="1:21" s="2" customFormat="1" x14ac:dyDescent="0.25">
      <c r="A61"/>
      <c r="B61"/>
      <c r="C61" s="1"/>
      <c r="D61" s="1" t="s">
        <v>212</v>
      </c>
      <c r="E61" s="3">
        <v>4295.33</v>
      </c>
      <c r="F61" s="3"/>
      <c r="G61" s="3"/>
      <c r="I61" s="3"/>
      <c r="J61" s="3"/>
      <c r="K61"/>
      <c r="L61"/>
      <c r="M61"/>
      <c r="N61"/>
      <c r="O61"/>
      <c r="P61"/>
      <c r="Q61"/>
      <c r="R61"/>
      <c r="S61"/>
    </row>
    <row r="62" spans="1:21" s="2" customFormat="1" x14ac:dyDescent="0.25">
      <c r="A62"/>
      <c r="B62"/>
      <c r="C62" s="1"/>
      <c r="D62" s="1" t="s">
        <v>213</v>
      </c>
      <c r="E62" s="3">
        <v>1686.66</v>
      </c>
      <c r="F62" s="3"/>
      <c r="G62" s="3"/>
      <c r="I62" s="3"/>
      <c r="J62" s="3"/>
      <c r="K62"/>
      <c r="L62"/>
      <c r="M62"/>
      <c r="N62"/>
      <c r="O62"/>
      <c r="P62"/>
      <c r="Q62"/>
      <c r="R62"/>
      <c r="S62"/>
    </row>
    <row r="63" spans="1:21" s="2" customFormat="1" x14ac:dyDescent="0.25">
      <c r="A63"/>
      <c r="B63"/>
      <c r="C63" s="1"/>
      <c r="D63" s="1" t="s">
        <v>214</v>
      </c>
      <c r="E63" s="3">
        <v>2761.54</v>
      </c>
      <c r="F63" s="3"/>
      <c r="G63" s="3"/>
      <c r="I63"/>
      <c r="J63"/>
      <c r="K63"/>
      <c r="L63"/>
      <c r="M63"/>
      <c r="N63"/>
      <c r="O63"/>
      <c r="P63"/>
      <c r="Q63"/>
      <c r="R63"/>
      <c r="S63"/>
    </row>
    <row r="64" spans="1:21" s="2" customFormat="1" x14ac:dyDescent="0.25">
      <c r="A64"/>
      <c r="B64"/>
      <c r="C64" s="1"/>
      <c r="D64" s="1" t="s">
        <v>215</v>
      </c>
      <c r="E64" s="3">
        <v>2422.6999999999998</v>
      </c>
      <c r="F64" s="3"/>
      <c r="G64" s="3"/>
      <c r="I64"/>
      <c r="J64"/>
      <c r="K64"/>
      <c r="L64"/>
      <c r="M64"/>
      <c r="N64"/>
      <c r="O64"/>
      <c r="P64"/>
      <c r="Q64"/>
      <c r="R64"/>
      <c r="S64"/>
    </row>
    <row r="65" spans="1:19" s="2" customFormat="1" x14ac:dyDescent="0.25">
      <c r="A65"/>
      <c r="B65"/>
      <c r="C65" s="1"/>
      <c r="D65" s="1" t="s">
        <v>216</v>
      </c>
      <c r="E65" s="3">
        <v>4083.64</v>
      </c>
      <c r="F65" s="3"/>
      <c r="G65" s="3"/>
      <c r="I65"/>
      <c r="J65"/>
      <c r="K65"/>
      <c r="L65"/>
      <c r="M65"/>
      <c r="N65"/>
      <c r="O65"/>
      <c r="P65"/>
      <c r="Q65"/>
      <c r="R65"/>
      <c r="S65"/>
    </row>
    <row r="66" spans="1:19" s="2" customFormat="1" x14ac:dyDescent="0.25">
      <c r="A66"/>
      <c r="B66"/>
      <c r="C66" s="1"/>
      <c r="D66" s="1" t="s">
        <v>217</v>
      </c>
      <c r="E66" s="3">
        <v>1287.77</v>
      </c>
      <c r="F66" s="3"/>
      <c r="I66"/>
      <c r="J66"/>
      <c r="K66"/>
      <c r="L66"/>
      <c r="M66"/>
      <c r="N66"/>
      <c r="O66"/>
      <c r="P66"/>
      <c r="Q66"/>
      <c r="R66"/>
      <c r="S66"/>
    </row>
    <row r="67" spans="1:19" s="2" customFormat="1" x14ac:dyDescent="0.25">
      <c r="A67"/>
      <c r="B67"/>
      <c r="C67" s="1"/>
      <c r="D67" s="1" t="s">
        <v>218</v>
      </c>
      <c r="E67" s="3">
        <v>1784.96</v>
      </c>
      <c r="F67" s="3"/>
      <c r="G67" s="3"/>
      <c r="I67"/>
      <c r="J67"/>
      <c r="K67"/>
      <c r="L67"/>
      <c r="M67"/>
      <c r="N67"/>
      <c r="O67"/>
      <c r="P67"/>
      <c r="Q67"/>
      <c r="R67"/>
      <c r="S67"/>
    </row>
    <row r="68" spans="1:19" s="2" customFormat="1" x14ac:dyDescent="0.25">
      <c r="A68"/>
      <c r="B68"/>
      <c r="C68" s="1"/>
      <c r="D68" s="1" t="s">
        <v>219</v>
      </c>
      <c r="E68" s="3">
        <v>1174.58</v>
      </c>
      <c r="F68" s="3"/>
      <c r="G68" s="3"/>
      <c r="I68"/>
      <c r="J68"/>
      <c r="K68"/>
      <c r="L68"/>
      <c r="M68"/>
      <c r="N68"/>
      <c r="O68"/>
      <c r="P68"/>
      <c r="Q68"/>
      <c r="R68"/>
      <c r="S68"/>
    </row>
    <row r="69" spans="1:19" s="2" customFormat="1" x14ac:dyDescent="0.25">
      <c r="A69"/>
      <c r="B69"/>
      <c r="C69" s="1"/>
      <c r="D69" s="1"/>
      <c r="E69" s="3"/>
      <c r="F69" s="3"/>
      <c r="G69" s="3"/>
      <c r="I69"/>
      <c r="J69"/>
      <c r="K69"/>
      <c r="L69"/>
      <c r="M69"/>
      <c r="N69"/>
      <c r="O69"/>
      <c r="P69"/>
      <c r="Q69"/>
      <c r="R69"/>
      <c r="S69"/>
    </row>
    <row r="70" spans="1:19" s="2" customFormat="1" x14ac:dyDescent="0.25">
      <c r="A70"/>
      <c r="B70"/>
      <c r="C70" s="1"/>
      <c r="D70" s="1"/>
      <c r="E70" s="3"/>
      <c r="F70" s="3"/>
      <c r="G70" s="3"/>
      <c r="I70"/>
      <c r="J70"/>
      <c r="K70"/>
      <c r="L70"/>
      <c r="M70"/>
      <c r="N70"/>
      <c r="O70"/>
      <c r="P70"/>
      <c r="Q70"/>
      <c r="R70"/>
      <c r="S70"/>
    </row>
    <row r="71" spans="1:19" s="2" customFormat="1" x14ac:dyDescent="0.25">
      <c r="A71"/>
      <c r="B71"/>
      <c r="C71" s="1"/>
      <c r="D71" s="1"/>
      <c r="E71" s="3"/>
      <c r="F71" s="3"/>
      <c r="G71" s="3"/>
      <c r="I71"/>
      <c r="J71"/>
      <c r="K71"/>
      <c r="L71"/>
      <c r="M71"/>
      <c r="N71"/>
      <c r="O71"/>
      <c r="P71"/>
      <c r="Q71"/>
      <c r="R71"/>
      <c r="S71"/>
    </row>
    <row r="72" spans="1:19" s="2" customFormat="1" x14ac:dyDescent="0.25">
      <c r="A72" s="1"/>
      <c r="B72" s="1"/>
      <c r="C72" s="1"/>
      <c r="D72" s="1"/>
      <c r="E72" s="3"/>
      <c r="F72" s="3"/>
      <c r="G72" s="3"/>
      <c r="I72"/>
      <c r="J72"/>
      <c r="K72"/>
      <c r="L72"/>
      <c r="M72"/>
      <c r="N72"/>
      <c r="O72"/>
      <c r="P72"/>
      <c r="Q72"/>
      <c r="R72"/>
      <c r="S72"/>
    </row>
    <row r="73" spans="1:19" s="2" customFormat="1" x14ac:dyDescent="0.25">
      <c r="A73"/>
      <c r="B73"/>
      <c r="C73" s="1"/>
      <c r="D73" s="1"/>
      <c r="E73" s="3"/>
      <c r="F73" s="3"/>
      <c r="I73"/>
      <c r="J73"/>
      <c r="K73"/>
      <c r="L73"/>
      <c r="M73"/>
      <c r="N73"/>
      <c r="O73"/>
      <c r="P73"/>
      <c r="Q73"/>
      <c r="R73"/>
      <c r="S73"/>
    </row>
    <row r="74" spans="1:19" s="2" customFormat="1" x14ac:dyDescent="0.25">
      <c r="A74"/>
      <c r="B74"/>
      <c r="C74" s="1"/>
      <c r="D74" s="1"/>
      <c r="E74" s="3"/>
      <c r="F74" s="3"/>
      <c r="G74" s="3"/>
      <c r="I74"/>
      <c r="J74"/>
      <c r="K74"/>
      <c r="L74"/>
      <c r="M74"/>
      <c r="N74"/>
      <c r="O74"/>
      <c r="P74"/>
      <c r="Q74"/>
      <c r="R74"/>
      <c r="S74"/>
    </row>
    <row r="75" spans="1:19" s="2" customFormat="1" x14ac:dyDescent="0.25">
      <c r="A75"/>
      <c r="B75"/>
      <c r="C75" s="1"/>
      <c r="D75" s="1"/>
      <c r="E75" s="3"/>
      <c r="F75" s="3"/>
      <c r="I75"/>
      <c r="J75"/>
      <c r="K75"/>
      <c r="L75"/>
      <c r="M75"/>
      <c r="N75"/>
      <c r="O75"/>
      <c r="P75"/>
      <c r="Q75"/>
      <c r="R75"/>
      <c r="S75"/>
    </row>
    <row r="76" spans="1:19" s="2" customFormat="1" x14ac:dyDescent="0.25">
      <c r="A76" s="1"/>
      <c r="B76" s="1"/>
      <c r="C76" s="1"/>
      <c r="D76" s="1"/>
      <c r="E76" s="3"/>
      <c r="F76" s="3"/>
      <c r="G76" s="3"/>
      <c r="I76"/>
      <c r="J76"/>
      <c r="K76"/>
      <c r="L76"/>
      <c r="M76"/>
      <c r="N76"/>
      <c r="O76"/>
      <c r="P76"/>
      <c r="Q76"/>
      <c r="R76"/>
      <c r="S76"/>
    </row>
    <row r="77" spans="1:19" s="2" customFormat="1" x14ac:dyDescent="0.25">
      <c r="A77"/>
      <c r="B77"/>
      <c r="C77" s="1"/>
      <c r="D77" s="1"/>
      <c r="E77" s="3"/>
      <c r="F77" s="3"/>
      <c r="I77"/>
      <c r="J77"/>
      <c r="K77"/>
      <c r="L77"/>
      <c r="M77"/>
      <c r="N77"/>
      <c r="O77"/>
      <c r="P77"/>
      <c r="Q77"/>
      <c r="R77"/>
      <c r="S77"/>
    </row>
    <row r="78" spans="1:19" s="2" customFormat="1" x14ac:dyDescent="0.25">
      <c r="A78"/>
      <c r="B78"/>
      <c r="C78" s="1"/>
      <c r="D78" s="1"/>
      <c r="E78" s="3"/>
      <c r="F78" s="3"/>
      <c r="G78" s="3"/>
      <c r="I78"/>
      <c r="J78"/>
      <c r="K78"/>
      <c r="L78"/>
      <c r="M78"/>
      <c r="N78"/>
      <c r="O78"/>
      <c r="P78"/>
      <c r="Q78"/>
      <c r="R78"/>
      <c r="S78"/>
    </row>
    <row r="79" spans="1:19" s="2" customFormat="1" x14ac:dyDescent="0.25">
      <c r="A79" s="1"/>
      <c r="B79" s="1"/>
      <c r="C79" s="1"/>
      <c r="D79" s="1"/>
      <c r="E79" s="3"/>
      <c r="F79" s="3"/>
      <c r="G79" s="3"/>
      <c r="I79"/>
      <c r="J79"/>
      <c r="K79"/>
      <c r="L79"/>
      <c r="M79"/>
      <c r="N79"/>
      <c r="O79"/>
      <c r="P79"/>
      <c r="Q79"/>
      <c r="R79"/>
      <c r="S79"/>
    </row>
    <row r="80" spans="1:19" s="2" customFormat="1" x14ac:dyDescent="0.25">
      <c r="A80"/>
      <c r="B80"/>
      <c r="C80" s="1"/>
      <c r="D80" s="1"/>
      <c r="E80" s="3"/>
      <c r="F80" s="3"/>
      <c r="I80"/>
      <c r="J80"/>
      <c r="K80"/>
      <c r="L80"/>
      <c r="M80"/>
      <c r="N80"/>
      <c r="O80"/>
      <c r="P80"/>
      <c r="Q80"/>
      <c r="R80"/>
      <c r="S80"/>
    </row>
    <row r="81" spans="1:19" s="2" customFormat="1" x14ac:dyDescent="0.25">
      <c r="A81"/>
      <c r="B81"/>
      <c r="C81" s="1"/>
      <c r="D81" s="1"/>
      <c r="E81" s="3"/>
      <c r="F81" s="3"/>
      <c r="G81" s="3"/>
      <c r="I81"/>
      <c r="J81"/>
      <c r="K81"/>
      <c r="L81"/>
      <c r="M81"/>
      <c r="N81"/>
      <c r="O81"/>
      <c r="P81"/>
      <c r="Q81"/>
      <c r="R81"/>
      <c r="S81"/>
    </row>
    <row r="82" spans="1:19" s="2" customFormat="1" x14ac:dyDescent="0.25">
      <c r="A82"/>
      <c r="B82"/>
      <c r="C82" s="1"/>
      <c r="D82" s="1"/>
      <c r="E82" s="3"/>
      <c r="F82" s="3"/>
      <c r="I82"/>
      <c r="J82"/>
      <c r="K82"/>
      <c r="L82"/>
      <c r="M82"/>
      <c r="N82"/>
      <c r="O82"/>
      <c r="P82"/>
      <c r="Q82"/>
      <c r="R82"/>
      <c r="S82"/>
    </row>
    <row r="83" spans="1:19" s="2" customFormat="1" x14ac:dyDescent="0.25">
      <c r="A83"/>
      <c r="B83"/>
      <c r="C83" s="1"/>
      <c r="D83" s="1"/>
      <c r="E83" s="3"/>
      <c r="F83" s="3"/>
      <c r="G83" s="3"/>
      <c r="I83"/>
      <c r="J83"/>
      <c r="K83"/>
      <c r="L83"/>
      <c r="M83"/>
      <c r="N83"/>
      <c r="O83"/>
      <c r="P83"/>
      <c r="Q83"/>
      <c r="R83"/>
      <c r="S83"/>
    </row>
    <row r="84" spans="1:19" s="2" customFormat="1" x14ac:dyDescent="0.25">
      <c r="A84" s="1"/>
      <c r="B84" s="1"/>
      <c r="C84" s="1"/>
      <c r="D84" s="1"/>
      <c r="E84" s="3"/>
      <c r="F84" s="3"/>
      <c r="G84" s="3"/>
      <c r="I84"/>
      <c r="J84"/>
      <c r="K84"/>
      <c r="L84"/>
      <c r="M84"/>
      <c r="N84"/>
      <c r="O84"/>
      <c r="P84"/>
      <c r="Q84"/>
      <c r="R84"/>
      <c r="S84"/>
    </row>
    <row r="85" spans="1:19" s="2" customFormat="1" x14ac:dyDescent="0.25">
      <c r="A85"/>
      <c r="B85"/>
      <c r="C85" s="1"/>
      <c r="D85" s="1"/>
      <c r="E85" s="3"/>
      <c r="F85" s="3"/>
      <c r="I85"/>
      <c r="J85"/>
      <c r="K85"/>
      <c r="L85"/>
      <c r="M85"/>
      <c r="N85"/>
      <c r="O85"/>
      <c r="P85"/>
      <c r="Q85"/>
      <c r="R85"/>
      <c r="S85"/>
    </row>
    <row r="86" spans="1:19" s="2" customFormat="1" x14ac:dyDescent="0.25">
      <c r="A86"/>
      <c r="B86"/>
      <c r="C86" s="1"/>
      <c r="D86" s="1"/>
      <c r="E86" s="3"/>
      <c r="F86" s="3"/>
      <c r="G86" s="3"/>
      <c r="I86"/>
      <c r="J86"/>
      <c r="K86"/>
      <c r="L86"/>
      <c r="M86"/>
      <c r="N86"/>
      <c r="O86"/>
      <c r="P86"/>
      <c r="Q86"/>
      <c r="R86"/>
      <c r="S86"/>
    </row>
    <row r="87" spans="1:19" s="2" customFormat="1" x14ac:dyDescent="0.25">
      <c r="A87" s="1"/>
      <c r="B87" s="1"/>
      <c r="C87" s="1"/>
      <c r="D87" s="1"/>
      <c r="E87" s="3"/>
      <c r="F87" s="3"/>
      <c r="G87" s="3"/>
      <c r="I87"/>
      <c r="J87"/>
      <c r="K87"/>
      <c r="L87"/>
      <c r="M87"/>
      <c r="N87"/>
      <c r="O87"/>
      <c r="P87"/>
      <c r="Q87"/>
      <c r="R87"/>
      <c r="S87"/>
    </row>
    <row r="88" spans="1:19" s="2" customFormat="1" x14ac:dyDescent="0.25">
      <c r="A88"/>
      <c r="B88"/>
      <c r="C88" s="1"/>
      <c r="D88" s="1"/>
      <c r="E88" s="3"/>
      <c r="F88" s="3"/>
      <c r="G88" s="3"/>
      <c r="I88"/>
      <c r="J88"/>
      <c r="K88"/>
      <c r="L88"/>
      <c r="M88"/>
      <c r="N88"/>
      <c r="O88"/>
      <c r="P88"/>
      <c r="Q88"/>
      <c r="R88"/>
      <c r="S88"/>
    </row>
    <row r="89" spans="1:19" s="2" customFormat="1" x14ac:dyDescent="0.25">
      <c r="A89"/>
      <c r="B89"/>
      <c r="C89" s="1"/>
      <c r="D89" s="1"/>
      <c r="E89" s="3"/>
      <c r="F89" s="3"/>
      <c r="G89" s="3"/>
      <c r="I89"/>
      <c r="J89"/>
      <c r="K89"/>
      <c r="L89"/>
      <c r="M89"/>
      <c r="N89"/>
      <c r="O89"/>
      <c r="P89"/>
      <c r="Q89"/>
      <c r="R89"/>
      <c r="S89"/>
    </row>
    <row r="90" spans="1:19" s="2" customFormat="1" x14ac:dyDescent="0.25">
      <c r="A90" s="1"/>
      <c r="B90" s="1"/>
      <c r="C90" s="1"/>
      <c r="D90" s="1"/>
      <c r="E90" s="3"/>
      <c r="F90" s="3"/>
      <c r="G90" s="3"/>
      <c r="I90"/>
      <c r="J90"/>
      <c r="K90"/>
      <c r="L90"/>
      <c r="M90"/>
      <c r="N90"/>
      <c r="O90"/>
      <c r="P90"/>
      <c r="Q90"/>
      <c r="R90"/>
      <c r="S90"/>
    </row>
    <row r="91" spans="1:19" s="2" customFormat="1" x14ac:dyDescent="0.25">
      <c r="A91"/>
      <c r="B91"/>
      <c r="C91" s="1"/>
      <c r="D91" s="1"/>
      <c r="E91" s="3"/>
      <c r="F91" s="3"/>
      <c r="I91"/>
      <c r="J91"/>
      <c r="K91"/>
      <c r="L91"/>
      <c r="M91"/>
      <c r="N91"/>
      <c r="O91"/>
      <c r="P91"/>
      <c r="Q91"/>
      <c r="R91"/>
      <c r="S91"/>
    </row>
    <row r="92" spans="1:19" s="2" customFormat="1" x14ac:dyDescent="0.25">
      <c r="A92"/>
      <c r="B92"/>
      <c r="C92" s="1"/>
      <c r="D92" s="1"/>
      <c r="E92" s="3"/>
      <c r="F92" s="3"/>
      <c r="G92" s="3"/>
      <c r="I92"/>
      <c r="J92"/>
      <c r="K92"/>
      <c r="L92"/>
      <c r="M92"/>
      <c r="N92"/>
      <c r="O92"/>
      <c r="P92"/>
      <c r="Q92"/>
      <c r="R92"/>
      <c r="S92"/>
    </row>
    <row r="93" spans="1:19" s="2" customFormat="1" x14ac:dyDescent="0.25">
      <c r="A93"/>
      <c r="B93"/>
      <c r="C93" s="1"/>
      <c r="D93" s="1"/>
      <c r="E93" s="3"/>
      <c r="F93" s="3"/>
      <c r="I93"/>
      <c r="J93"/>
      <c r="K93"/>
      <c r="L93"/>
      <c r="M93"/>
      <c r="N93"/>
      <c r="O93"/>
      <c r="P93"/>
      <c r="Q93"/>
      <c r="R93"/>
      <c r="S93"/>
    </row>
    <row r="94" spans="1:19" s="2" customFormat="1" x14ac:dyDescent="0.25">
      <c r="A94"/>
      <c r="B94"/>
      <c r="C94" s="1"/>
      <c r="D94" s="1"/>
      <c r="E94" s="3"/>
      <c r="F94" s="3"/>
      <c r="I94"/>
      <c r="J94"/>
      <c r="K94"/>
      <c r="L94"/>
      <c r="M94"/>
      <c r="N94"/>
      <c r="O94"/>
      <c r="P94"/>
      <c r="Q94"/>
      <c r="R94"/>
      <c r="S94"/>
    </row>
    <row r="95" spans="1:19" s="2" customFormat="1" x14ac:dyDescent="0.25">
      <c r="A95"/>
      <c r="B95"/>
      <c r="C95" s="1"/>
      <c r="D95" s="1"/>
      <c r="E95" s="3"/>
      <c r="F95" s="3"/>
      <c r="G95" s="3"/>
      <c r="I95"/>
      <c r="J95"/>
      <c r="K95"/>
      <c r="L95"/>
      <c r="M95"/>
      <c r="N95"/>
      <c r="O95"/>
      <c r="P95"/>
      <c r="Q95"/>
      <c r="R95"/>
      <c r="S95"/>
    </row>
    <row r="96" spans="1:19" s="2" customFormat="1" x14ac:dyDescent="0.25">
      <c r="A96"/>
      <c r="B96"/>
      <c r="C96" s="1"/>
      <c r="D96" s="1"/>
      <c r="E96" s="3"/>
      <c r="F96" s="3"/>
      <c r="G96" s="3"/>
      <c r="I96"/>
      <c r="J96"/>
      <c r="K96"/>
      <c r="L96"/>
      <c r="M96"/>
      <c r="N96"/>
      <c r="O96"/>
      <c r="P96"/>
      <c r="Q96"/>
      <c r="R96"/>
      <c r="S96"/>
    </row>
    <row r="97" spans="1:19" s="2" customFormat="1" x14ac:dyDescent="0.25">
      <c r="A97"/>
      <c r="B97"/>
      <c r="C97" s="1"/>
      <c r="D97" s="1"/>
      <c r="E97" s="3"/>
      <c r="F97" s="3"/>
      <c r="G97" s="3"/>
      <c r="I97"/>
      <c r="J97"/>
      <c r="K97"/>
      <c r="L97"/>
      <c r="M97"/>
      <c r="N97"/>
      <c r="O97"/>
      <c r="P97"/>
      <c r="Q97"/>
      <c r="R97"/>
      <c r="S97"/>
    </row>
    <row r="98" spans="1:19" s="2" customFormat="1" x14ac:dyDescent="0.25">
      <c r="A98"/>
      <c r="B98"/>
      <c r="C98" s="1"/>
      <c r="D98" s="1"/>
      <c r="E98" s="3"/>
      <c r="F98" s="3"/>
      <c r="I98"/>
      <c r="J98"/>
      <c r="K98"/>
      <c r="L98"/>
      <c r="M98"/>
      <c r="N98"/>
      <c r="O98"/>
      <c r="P98"/>
      <c r="Q98"/>
      <c r="R98"/>
      <c r="S98"/>
    </row>
    <row r="99" spans="1:19" s="2" customFormat="1" x14ac:dyDescent="0.25">
      <c r="A99"/>
      <c r="B99"/>
      <c r="C99" s="1"/>
      <c r="D99" s="1"/>
      <c r="E99" s="3"/>
      <c r="F99" s="3"/>
      <c r="I99"/>
      <c r="J99"/>
      <c r="K99"/>
      <c r="L99"/>
      <c r="M99"/>
      <c r="N99"/>
      <c r="O99"/>
      <c r="P99"/>
      <c r="Q99"/>
      <c r="R99"/>
      <c r="S99"/>
    </row>
    <row r="100" spans="1:19" s="2" customFormat="1" x14ac:dyDescent="0.25">
      <c r="A100"/>
      <c r="B100"/>
      <c r="C100" s="1"/>
      <c r="D100" s="1"/>
      <c r="E100" s="3"/>
      <c r="F100" s="3"/>
      <c r="I100"/>
      <c r="J100"/>
      <c r="K100"/>
      <c r="L100"/>
      <c r="M100"/>
      <c r="N100"/>
      <c r="O100"/>
      <c r="P100"/>
      <c r="Q100"/>
      <c r="R100"/>
      <c r="S100"/>
    </row>
    <row r="101" spans="1:19" s="2" customFormat="1" x14ac:dyDescent="0.25">
      <c r="A101"/>
      <c r="B101"/>
      <c r="C101" s="1"/>
      <c r="D101" s="1"/>
      <c r="E101" s="3"/>
      <c r="F101" s="3"/>
      <c r="I101"/>
      <c r="J101"/>
      <c r="K101"/>
      <c r="L101"/>
      <c r="M101"/>
      <c r="N101"/>
      <c r="O101"/>
      <c r="P101"/>
      <c r="Q101"/>
      <c r="R101"/>
      <c r="S101"/>
    </row>
    <row r="102" spans="1:19" s="2" customFormat="1" x14ac:dyDescent="0.25">
      <c r="A102"/>
      <c r="B102"/>
      <c r="C102" s="1"/>
      <c r="D102" s="1"/>
      <c r="E102" s="3"/>
      <c r="F102" s="3"/>
      <c r="I102"/>
      <c r="J102"/>
      <c r="K102"/>
      <c r="L102"/>
      <c r="M102"/>
      <c r="N102"/>
      <c r="O102"/>
      <c r="P102"/>
      <c r="Q102"/>
      <c r="R102"/>
      <c r="S102"/>
    </row>
    <row r="103" spans="1:19" s="2" customFormat="1" x14ac:dyDescent="0.25">
      <c r="A103"/>
      <c r="B103"/>
      <c r="C103" s="1"/>
      <c r="D103" s="1"/>
      <c r="E103" s="3"/>
      <c r="F103" s="3"/>
      <c r="I103"/>
      <c r="J103"/>
      <c r="K103"/>
      <c r="L103"/>
      <c r="M103"/>
      <c r="N103"/>
      <c r="O103"/>
      <c r="P103"/>
      <c r="Q103"/>
      <c r="R103"/>
      <c r="S103"/>
    </row>
    <row r="104" spans="1:19" s="2" customFormat="1" x14ac:dyDescent="0.25">
      <c r="A104"/>
      <c r="B104"/>
      <c r="C104" s="1"/>
      <c r="D104" s="1"/>
      <c r="E104" s="3"/>
      <c r="F104" s="3"/>
      <c r="G104" s="3"/>
      <c r="I104"/>
      <c r="J104"/>
      <c r="K104"/>
      <c r="L104"/>
      <c r="M104"/>
      <c r="N104"/>
      <c r="O104"/>
      <c r="P104"/>
      <c r="Q104"/>
      <c r="R104"/>
      <c r="S104"/>
    </row>
    <row r="105" spans="1:19" s="2" customFormat="1" x14ac:dyDescent="0.25">
      <c r="A105"/>
      <c r="B105"/>
      <c r="C105" s="1"/>
      <c r="D105" s="1"/>
      <c r="E105" s="3"/>
      <c r="F105" s="3"/>
      <c r="G105" s="3"/>
      <c r="I105"/>
      <c r="J105"/>
      <c r="K105"/>
      <c r="L105"/>
      <c r="M105"/>
      <c r="N105"/>
      <c r="O105"/>
      <c r="P105"/>
      <c r="Q105"/>
      <c r="R105"/>
      <c r="S105"/>
    </row>
    <row r="106" spans="1:19" s="2" customFormat="1" x14ac:dyDescent="0.25">
      <c r="A106"/>
      <c r="B106"/>
      <c r="C106" s="1"/>
      <c r="D106" s="1"/>
      <c r="E106" s="3"/>
      <c r="F106" s="3"/>
      <c r="G106" s="3"/>
      <c r="I106"/>
      <c r="J106"/>
      <c r="K106"/>
      <c r="L106"/>
      <c r="M106"/>
      <c r="N106"/>
      <c r="O106"/>
      <c r="P106"/>
      <c r="Q106"/>
      <c r="R106"/>
      <c r="S106"/>
    </row>
    <row r="107" spans="1:19" s="2" customFormat="1" x14ac:dyDescent="0.25">
      <c r="A107"/>
      <c r="B107"/>
      <c r="C107" s="1"/>
      <c r="D107" s="1"/>
      <c r="E107" s="3"/>
      <c r="F107" s="3"/>
      <c r="G107" s="3"/>
      <c r="I107"/>
      <c r="J107"/>
      <c r="K107"/>
      <c r="L107"/>
      <c r="M107"/>
      <c r="N107"/>
      <c r="O107"/>
      <c r="P107"/>
      <c r="Q107"/>
      <c r="R107"/>
      <c r="S107"/>
    </row>
    <row r="108" spans="1:19" s="2" customFormat="1" x14ac:dyDescent="0.25">
      <c r="A108"/>
      <c r="B108"/>
      <c r="C108" s="1"/>
      <c r="D108" s="1"/>
      <c r="E108" s="3"/>
      <c r="F108" s="3"/>
      <c r="G108" s="3"/>
      <c r="I108"/>
      <c r="J108"/>
      <c r="K108"/>
      <c r="L108"/>
      <c r="M108"/>
      <c r="N108"/>
      <c r="O108"/>
      <c r="P108"/>
      <c r="Q108"/>
      <c r="R108"/>
      <c r="S108"/>
    </row>
    <row r="109" spans="1:19" s="2" customFormat="1" x14ac:dyDescent="0.25">
      <c r="A109"/>
      <c r="B109"/>
      <c r="C109" s="1"/>
      <c r="D109" s="1"/>
      <c r="E109" s="3"/>
      <c r="F109" s="3"/>
      <c r="G109" s="3"/>
      <c r="I109"/>
      <c r="J109"/>
      <c r="K109"/>
      <c r="L109"/>
      <c r="M109"/>
      <c r="N109"/>
      <c r="O109"/>
      <c r="P109"/>
      <c r="Q109"/>
      <c r="R109"/>
      <c r="S109"/>
    </row>
    <row r="110" spans="1:19" s="2" customFormat="1" x14ac:dyDescent="0.25">
      <c r="A110"/>
      <c r="B110"/>
      <c r="C110" s="1"/>
      <c r="D110" s="1"/>
      <c r="E110" s="3"/>
      <c r="F110" s="3"/>
      <c r="G110" s="3"/>
      <c r="I110"/>
      <c r="J110"/>
      <c r="K110"/>
      <c r="L110"/>
      <c r="M110"/>
      <c r="N110"/>
      <c r="O110"/>
      <c r="P110"/>
      <c r="Q110"/>
      <c r="R110"/>
      <c r="S110"/>
    </row>
    <row r="111" spans="1:19" s="2" customFormat="1" x14ac:dyDescent="0.25">
      <c r="A111"/>
      <c r="B111"/>
      <c r="C111" s="1"/>
      <c r="D111" s="1"/>
      <c r="E111" s="3"/>
      <c r="F111" s="3"/>
      <c r="G111" s="3"/>
      <c r="I111"/>
      <c r="J111"/>
      <c r="K111"/>
      <c r="L111"/>
      <c r="M111"/>
      <c r="N111"/>
      <c r="O111"/>
      <c r="P111"/>
      <c r="Q111"/>
      <c r="R111"/>
      <c r="S111"/>
    </row>
    <row r="112" spans="1:19" s="2" customFormat="1" x14ac:dyDescent="0.25">
      <c r="A112" s="1"/>
      <c r="B112" s="1"/>
      <c r="C112" s="1"/>
      <c r="D112" s="1"/>
      <c r="E112" s="3"/>
      <c r="F112" s="3"/>
      <c r="G112" s="3"/>
      <c r="I112"/>
      <c r="J112"/>
      <c r="K112"/>
      <c r="L112"/>
      <c r="M112"/>
      <c r="N112"/>
      <c r="O112"/>
      <c r="P112"/>
      <c r="Q112"/>
      <c r="R112"/>
      <c r="S112"/>
    </row>
    <row r="113" spans="1:19" s="2" customFormat="1" x14ac:dyDescent="0.25">
      <c r="A113"/>
      <c r="B113"/>
      <c r="C113" s="1"/>
      <c r="D113" s="1"/>
      <c r="E113" s="3"/>
      <c r="F113" s="3"/>
      <c r="I113"/>
      <c r="J113"/>
      <c r="K113"/>
      <c r="L113"/>
      <c r="M113"/>
      <c r="N113"/>
      <c r="O113"/>
      <c r="P113"/>
      <c r="Q113"/>
      <c r="R113"/>
      <c r="S113"/>
    </row>
    <row r="114" spans="1:19" s="2" customFormat="1" x14ac:dyDescent="0.25">
      <c r="A114" s="1"/>
      <c r="B114" s="1"/>
      <c r="C114" s="1"/>
      <c r="D114" s="1"/>
      <c r="E114" s="3"/>
      <c r="F114" s="3"/>
      <c r="G114" s="3"/>
      <c r="I114"/>
      <c r="J114"/>
      <c r="K114"/>
      <c r="L114"/>
      <c r="M114"/>
      <c r="N114"/>
      <c r="O114"/>
      <c r="P114"/>
      <c r="Q114"/>
      <c r="R114"/>
      <c r="S114"/>
    </row>
    <row r="129" spans="4:8" x14ac:dyDescent="0.25">
      <c r="D129" s="14"/>
      <c r="E129" s="13"/>
      <c r="F129" s="13"/>
      <c r="G129" s="13"/>
      <c r="H129" s="13"/>
    </row>
    <row r="130" spans="4:8" x14ac:dyDescent="0.25">
      <c r="H130" s="15"/>
    </row>
    <row r="131" spans="4:8" x14ac:dyDescent="0.25">
      <c r="H131" s="15"/>
    </row>
    <row r="132" spans="4:8" x14ac:dyDescent="0.25">
      <c r="H132" s="15"/>
    </row>
    <row r="133" spans="4:8" x14ac:dyDescent="0.25">
      <c r="H133" s="15"/>
    </row>
    <row r="134" spans="4:8" x14ac:dyDescent="0.25">
      <c r="H134" s="15"/>
    </row>
    <row r="135" spans="4:8" x14ac:dyDescent="0.25">
      <c r="H135" s="15"/>
    </row>
    <row r="136" spans="4:8" x14ac:dyDescent="0.25">
      <c r="H136" s="15"/>
    </row>
    <row r="137" spans="4:8" x14ac:dyDescent="0.25">
      <c r="H137" s="15"/>
    </row>
    <row r="138" spans="4:8" x14ac:dyDescent="0.25">
      <c r="H138" s="15"/>
    </row>
    <row r="139" spans="4:8" x14ac:dyDescent="0.25">
      <c r="H139" s="15"/>
    </row>
    <row r="140" spans="4:8" x14ac:dyDescent="0.25">
      <c r="H140" s="15"/>
    </row>
  </sheetData>
  <sortState xmlns:xlrd2="http://schemas.microsoft.com/office/spreadsheetml/2017/richdata2" ref="A40:AF50">
    <sortCondition ref="C40:C50"/>
  </sortState>
  <printOptions gridLines="1"/>
  <pageMargins left="0.31496062992125984" right="0.31496062992125984" top="0.35433070866141736" bottom="0.35433070866141736" header="0.31496062992125984" footer="0.31496062992125984"/>
  <pageSetup paperSize="9" scale="12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4"/>
  <sheetViews>
    <sheetView workbookViewId="0">
      <selection sqref="A1:H22"/>
    </sheetView>
  </sheetViews>
  <sheetFormatPr defaultRowHeight="15" x14ac:dyDescent="0.25"/>
  <cols>
    <col min="1" max="1" width="6.28515625" customWidth="1"/>
    <col min="2" max="2" width="18.42578125" customWidth="1"/>
    <col min="3" max="3" width="10.7109375" style="37" customWidth="1"/>
    <col min="4" max="4" width="10.28515625" customWidth="1"/>
    <col min="5" max="5" width="24.42578125" customWidth="1"/>
    <col min="6" max="6" width="8.7109375" style="20"/>
    <col min="7" max="8" width="8.7109375" style="38"/>
  </cols>
  <sheetData>
    <row r="1" spans="1:8" ht="23.45" x14ac:dyDescent="0.55000000000000004">
      <c r="A1" s="42" t="s">
        <v>180</v>
      </c>
    </row>
    <row r="2" spans="1:8" ht="15.6" x14ac:dyDescent="0.35">
      <c r="A2" s="7" t="s">
        <v>198</v>
      </c>
    </row>
    <row r="3" spans="1:8" ht="18.600000000000001" x14ac:dyDescent="0.45">
      <c r="A3" s="46"/>
      <c r="B3" s="46" t="s">
        <v>181</v>
      </c>
    </row>
    <row r="5" spans="1:8" s="43" customFormat="1" ht="14.45" x14ac:dyDescent="0.35">
      <c r="A5" s="43" t="s">
        <v>172</v>
      </c>
      <c r="B5" s="43" t="s">
        <v>173</v>
      </c>
      <c r="C5" s="44" t="s">
        <v>126</v>
      </c>
      <c r="D5" s="43" t="s">
        <v>176</v>
      </c>
      <c r="E5" s="43" t="s">
        <v>127</v>
      </c>
      <c r="F5" s="43" t="s">
        <v>178</v>
      </c>
      <c r="G5" s="45" t="s">
        <v>177</v>
      </c>
      <c r="H5" s="45" t="s">
        <v>88</v>
      </c>
    </row>
    <row r="7" spans="1:8" x14ac:dyDescent="0.25">
      <c r="A7" t="s">
        <v>174</v>
      </c>
      <c r="B7" t="s">
        <v>175</v>
      </c>
      <c r="C7" s="37">
        <v>43048</v>
      </c>
      <c r="D7" t="s">
        <v>179</v>
      </c>
      <c r="E7" t="s">
        <v>183</v>
      </c>
      <c r="F7" s="20">
        <v>2</v>
      </c>
      <c r="G7" s="38">
        <v>55</v>
      </c>
      <c r="H7" s="38">
        <f>SUM(G7*F7)</f>
        <v>110</v>
      </c>
    </row>
    <row r="8" spans="1:8" x14ac:dyDescent="0.25">
      <c r="A8" t="s">
        <v>184</v>
      </c>
      <c r="B8" t="s">
        <v>185</v>
      </c>
      <c r="C8" s="37">
        <v>43118</v>
      </c>
      <c r="D8" t="s">
        <v>179</v>
      </c>
      <c r="E8" t="s">
        <v>182</v>
      </c>
      <c r="F8" s="20">
        <v>1</v>
      </c>
      <c r="G8" s="38">
        <v>11</v>
      </c>
      <c r="H8" s="38">
        <f t="shared" ref="H8:H24" si="0">SUM(G8*F8)</f>
        <v>11</v>
      </c>
    </row>
    <row r="9" spans="1:8" x14ac:dyDescent="0.25">
      <c r="A9" t="s">
        <v>187</v>
      </c>
      <c r="B9" t="s">
        <v>188</v>
      </c>
      <c r="C9" s="37">
        <v>43117</v>
      </c>
      <c r="D9" t="s">
        <v>179</v>
      </c>
      <c r="E9" t="s">
        <v>186</v>
      </c>
      <c r="F9" s="20">
        <v>10</v>
      </c>
      <c r="G9" s="38">
        <v>11</v>
      </c>
      <c r="H9" s="38">
        <f t="shared" si="0"/>
        <v>110</v>
      </c>
    </row>
    <row r="10" spans="1:8" x14ac:dyDescent="0.25">
      <c r="A10" t="s">
        <v>187</v>
      </c>
      <c r="B10" t="s">
        <v>188</v>
      </c>
      <c r="C10" s="37">
        <v>43117</v>
      </c>
      <c r="D10" t="s">
        <v>179</v>
      </c>
      <c r="E10" t="s">
        <v>186</v>
      </c>
      <c r="F10" s="20">
        <v>2</v>
      </c>
      <c r="G10" s="38">
        <v>58</v>
      </c>
      <c r="H10" s="38">
        <f t="shared" si="0"/>
        <v>116</v>
      </c>
    </row>
    <row r="11" spans="1:8" x14ac:dyDescent="0.25">
      <c r="A11" t="s">
        <v>189</v>
      </c>
      <c r="B11" t="s">
        <v>190</v>
      </c>
      <c r="C11" s="37">
        <v>43180</v>
      </c>
      <c r="D11" t="s">
        <v>179</v>
      </c>
      <c r="E11" t="s">
        <v>191</v>
      </c>
      <c r="F11" s="20">
        <v>16</v>
      </c>
      <c r="G11" s="38">
        <v>11</v>
      </c>
      <c r="H11" s="38">
        <f t="shared" si="0"/>
        <v>176</v>
      </c>
    </row>
    <row r="12" spans="1:8" x14ac:dyDescent="0.25">
      <c r="A12" t="s">
        <v>189</v>
      </c>
      <c r="B12" t="s">
        <v>190</v>
      </c>
      <c r="C12" s="37">
        <v>43180</v>
      </c>
      <c r="D12" t="s">
        <v>179</v>
      </c>
      <c r="E12" t="s">
        <v>191</v>
      </c>
      <c r="F12" s="20">
        <v>1</v>
      </c>
      <c r="G12" s="38">
        <v>58</v>
      </c>
      <c r="H12" s="38">
        <f t="shared" si="0"/>
        <v>58</v>
      </c>
    </row>
    <row r="13" spans="1:8" x14ac:dyDescent="0.25">
      <c r="A13" t="s">
        <v>184</v>
      </c>
      <c r="B13" t="s">
        <v>185</v>
      </c>
      <c r="C13" s="37">
        <v>43157</v>
      </c>
      <c r="D13" t="s">
        <v>179</v>
      </c>
      <c r="E13" t="s">
        <v>192</v>
      </c>
      <c r="F13" s="20">
        <v>3</v>
      </c>
      <c r="G13" s="38">
        <v>58</v>
      </c>
      <c r="H13" s="38">
        <f t="shared" si="0"/>
        <v>174</v>
      </c>
    </row>
    <row r="14" spans="1:8" x14ac:dyDescent="0.25">
      <c r="A14" t="s">
        <v>184</v>
      </c>
      <c r="B14" t="s">
        <v>185</v>
      </c>
      <c r="C14" s="37">
        <v>43157</v>
      </c>
      <c r="D14" t="s">
        <v>179</v>
      </c>
      <c r="E14" t="s">
        <v>192</v>
      </c>
      <c r="F14" s="20">
        <v>5</v>
      </c>
      <c r="G14" s="38">
        <v>11</v>
      </c>
      <c r="H14" s="38">
        <f t="shared" si="0"/>
        <v>55</v>
      </c>
    </row>
    <row r="15" spans="1:8" x14ac:dyDescent="0.25">
      <c r="A15" t="s">
        <v>194</v>
      </c>
      <c r="B15" t="s">
        <v>195</v>
      </c>
      <c r="C15" s="37">
        <v>43157</v>
      </c>
      <c r="D15" t="s">
        <v>179</v>
      </c>
      <c r="E15" t="s">
        <v>196</v>
      </c>
      <c r="F15" s="20">
        <v>5</v>
      </c>
      <c r="G15" s="38">
        <v>58</v>
      </c>
      <c r="H15" s="38">
        <f t="shared" si="0"/>
        <v>290</v>
      </c>
    </row>
    <row r="16" spans="1:8" x14ac:dyDescent="0.25">
      <c r="A16" t="s">
        <v>194</v>
      </c>
      <c r="B16" t="s">
        <v>195</v>
      </c>
      <c r="C16" s="37">
        <v>43157</v>
      </c>
      <c r="D16" t="s">
        <v>179</v>
      </c>
      <c r="E16" t="s">
        <v>196</v>
      </c>
      <c r="F16" s="20">
        <v>20</v>
      </c>
      <c r="G16" s="38">
        <v>11</v>
      </c>
      <c r="H16" s="38">
        <f t="shared" si="0"/>
        <v>220</v>
      </c>
    </row>
    <row r="17" spans="1:9" x14ac:dyDescent="0.25">
      <c r="A17" t="s">
        <v>194</v>
      </c>
      <c r="B17" t="s">
        <v>195</v>
      </c>
      <c r="C17" s="37">
        <v>43157</v>
      </c>
      <c r="D17" t="s">
        <v>203</v>
      </c>
      <c r="E17" t="s">
        <v>193</v>
      </c>
      <c r="F17" s="20">
        <v>1</v>
      </c>
      <c r="G17" s="38">
        <v>240</v>
      </c>
      <c r="H17" s="38">
        <f t="shared" si="0"/>
        <v>240</v>
      </c>
    </row>
    <row r="18" spans="1:9" x14ac:dyDescent="0.25">
      <c r="A18" t="s">
        <v>194</v>
      </c>
      <c r="B18" t="s">
        <v>195</v>
      </c>
      <c r="C18" s="37">
        <v>43157</v>
      </c>
      <c r="D18" t="s">
        <v>202</v>
      </c>
      <c r="E18" t="s">
        <v>197</v>
      </c>
      <c r="F18" s="20">
        <v>150</v>
      </c>
      <c r="G18" s="38">
        <v>4.4000000000000004</v>
      </c>
      <c r="H18" s="38">
        <f t="shared" si="0"/>
        <v>660</v>
      </c>
    </row>
    <row r="19" spans="1:9" x14ac:dyDescent="0.25">
      <c r="A19" t="s">
        <v>208</v>
      </c>
      <c r="B19" t="s">
        <v>207</v>
      </c>
      <c r="C19" s="37">
        <v>43157</v>
      </c>
      <c r="D19" t="s">
        <v>179</v>
      </c>
      <c r="E19" t="s">
        <v>206</v>
      </c>
      <c r="F19" s="20">
        <v>13</v>
      </c>
      <c r="G19" s="38">
        <v>58</v>
      </c>
      <c r="H19" s="38">
        <f t="shared" si="0"/>
        <v>754</v>
      </c>
    </row>
    <row r="20" spans="1:9" x14ac:dyDescent="0.25">
      <c r="A20" t="s">
        <v>208</v>
      </c>
      <c r="B20" t="s">
        <v>207</v>
      </c>
      <c r="C20" s="37">
        <v>43157</v>
      </c>
      <c r="D20" t="s">
        <v>179</v>
      </c>
      <c r="E20" t="s">
        <v>206</v>
      </c>
      <c r="F20" s="20">
        <v>103</v>
      </c>
      <c r="G20" s="38">
        <v>11</v>
      </c>
      <c r="H20" s="38">
        <f t="shared" si="0"/>
        <v>1133</v>
      </c>
    </row>
    <row r="21" spans="1:9" x14ac:dyDescent="0.25">
      <c r="A21" t="s">
        <v>208</v>
      </c>
      <c r="B21" t="s">
        <v>207</v>
      </c>
      <c r="C21" s="37">
        <v>43157</v>
      </c>
      <c r="D21" t="s">
        <v>203</v>
      </c>
      <c r="E21" t="s">
        <v>193</v>
      </c>
      <c r="F21" s="20">
        <v>1</v>
      </c>
      <c r="G21" s="38">
        <v>240</v>
      </c>
      <c r="H21" s="38">
        <f t="shared" si="0"/>
        <v>240</v>
      </c>
    </row>
    <row r="22" spans="1:9" x14ac:dyDescent="0.25">
      <c r="A22" t="s">
        <v>208</v>
      </c>
      <c r="B22" t="s">
        <v>207</v>
      </c>
      <c r="C22" s="37">
        <v>43157</v>
      </c>
      <c r="D22" t="s">
        <v>202</v>
      </c>
      <c r="E22" t="s">
        <v>197</v>
      </c>
      <c r="F22" s="20">
        <v>220</v>
      </c>
      <c r="G22" s="38">
        <v>4.4000000000000004</v>
      </c>
      <c r="H22" s="38">
        <f t="shared" si="0"/>
        <v>968.00000000000011</v>
      </c>
      <c r="I22" s="38"/>
    </row>
    <row r="23" spans="1:9" x14ac:dyDescent="0.25">
      <c r="H23" s="38">
        <f t="shared" si="0"/>
        <v>0</v>
      </c>
    </row>
    <row r="24" spans="1:9" x14ac:dyDescent="0.25">
      <c r="H24" s="38">
        <f t="shared" si="0"/>
        <v>0</v>
      </c>
    </row>
  </sheetData>
  <printOptions gridLines="1"/>
  <pageMargins left="0.31496062992125984" right="0.31496062992125984" top="0.35433070866141736" bottom="0.35433070866141736" header="0.31496062992125984" footer="0.31496062992125984"/>
  <pageSetup paperSize="9" scale="12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8"/>
  <sheetViews>
    <sheetView workbookViewId="0">
      <selection sqref="A1:H8"/>
    </sheetView>
  </sheetViews>
  <sheetFormatPr defaultRowHeight="15" x14ac:dyDescent="0.25"/>
  <cols>
    <col min="1" max="1" width="6.28515625" customWidth="1"/>
    <col min="2" max="2" width="18.42578125" customWidth="1"/>
    <col min="3" max="3" width="10.7109375" style="37" customWidth="1"/>
    <col min="4" max="4" width="10.28515625" customWidth="1"/>
    <col min="5" max="5" width="24.42578125" customWidth="1"/>
    <col min="6" max="6" width="8.7109375" style="20"/>
    <col min="7" max="8" width="8.7109375" style="38"/>
  </cols>
  <sheetData>
    <row r="1" spans="1:8" ht="23.45" x14ac:dyDescent="0.55000000000000004">
      <c r="A1" s="42" t="s">
        <v>180</v>
      </c>
    </row>
    <row r="2" spans="1:8" ht="15.6" x14ac:dyDescent="0.35">
      <c r="A2" s="7" t="s">
        <v>199</v>
      </c>
    </row>
    <row r="3" spans="1:8" ht="18.600000000000001" x14ac:dyDescent="0.45">
      <c r="A3" s="46"/>
      <c r="B3" s="46" t="s">
        <v>181</v>
      </c>
    </row>
    <row r="5" spans="1:8" s="43" customFormat="1" ht="14.45" x14ac:dyDescent="0.35">
      <c r="A5" s="43" t="s">
        <v>172</v>
      </c>
      <c r="B5" s="43" t="s">
        <v>173</v>
      </c>
      <c r="C5" s="44" t="s">
        <v>126</v>
      </c>
      <c r="D5" s="43" t="s">
        <v>176</v>
      </c>
      <c r="E5" s="43" t="s">
        <v>127</v>
      </c>
      <c r="F5" s="43" t="s">
        <v>178</v>
      </c>
      <c r="G5" s="45" t="s">
        <v>177</v>
      </c>
      <c r="H5" s="45" t="s">
        <v>88</v>
      </c>
    </row>
    <row r="7" spans="1:8" x14ac:dyDescent="0.25">
      <c r="A7" t="s">
        <v>189</v>
      </c>
      <c r="B7" t="s">
        <v>190</v>
      </c>
      <c r="C7" s="37">
        <v>43157</v>
      </c>
      <c r="D7" t="s">
        <v>204</v>
      </c>
      <c r="E7" t="s">
        <v>200</v>
      </c>
      <c r="F7" s="20">
        <v>1</v>
      </c>
      <c r="G7" s="38">
        <v>240</v>
      </c>
      <c r="H7" s="38">
        <f>SUM(G7*F7)</f>
        <v>240</v>
      </c>
    </row>
    <row r="8" spans="1:8" x14ac:dyDescent="0.25">
      <c r="A8" t="s">
        <v>189</v>
      </c>
      <c r="B8" t="s">
        <v>190</v>
      </c>
      <c r="C8" s="37">
        <v>43157</v>
      </c>
      <c r="D8" t="s">
        <v>205</v>
      </c>
      <c r="E8" t="s">
        <v>201</v>
      </c>
      <c r="F8" s="20">
        <v>150</v>
      </c>
      <c r="G8" s="38">
        <v>4.4000000000000004</v>
      </c>
      <c r="H8" s="38">
        <f t="shared" ref="H8:H18" si="0">SUM(G8*F8)</f>
        <v>660</v>
      </c>
    </row>
    <row r="9" spans="1:8" x14ac:dyDescent="0.25">
      <c r="H9" s="38">
        <f t="shared" si="0"/>
        <v>0</v>
      </c>
    </row>
    <row r="10" spans="1:8" x14ac:dyDescent="0.25">
      <c r="H10" s="38">
        <f t="shared" si="0"/>
        <v>0</v>
      </c>
    </row>
    <row r="11" spans="1:8" x14ac:dyDescent="0.25">
      <c r="H11" s="38">
        <f t="shared" si="0"/>
        <v>0</v>
      </c>
    </row>
    <row r="12" spans="1:8" x14ac:dyDescent="0.25">
      <c r="H12" s="38">
        <f t="shared" si="0"/>
        <v>0</v>
      </c>
    </row>
    <row r="13" spans="1:8" x14ac:dyDescent="0.25">
      <c r="H13" s="38">
        <f t="shared" si="0"/>
        <v>0</v>
      </c>
    </row>
    <row r="14" spans="1:8" x14ac:dyDescent="0.25">
      <c r="H14" s="38">
        <f t="shared" si="0"/>
        <v>0</v>
      </c>
    </row>
    <row r="15" spans="1:8" x14ac:dyDescent="0.25">
      <c r="H15" s="38">
        <f t="shared" si="0"/>
        <v>0</v>
      </c>
    </row>
    <row r="16" spans="1:8" x14ac:dyDescent="0.25">
      <c r="H16" s="38">
        <f t="shared" si="0"/>
        <v>0</v>
      </c>
    </row>
    <row r="17" spans="8:8" x14ac:dyDescent="0.25">
      <c r="H17" s="38">
        <f t="shared" si="0"/>
        <v>0</v>
      </c>
    </row>
    <row r="18" spans="8:8" x14ac:dyDescent="0.25">
      <c r="H18" s="38">
        <f t="shared" si="0"/>
        <v>0</v>
      </c>
    </row>
  </sheetData>
  <printOptions gridLines="1"/>
  <pageMargins left="0.31496062992125984" right="0.31496062992125984" top="0.35433070866141736" bottom="0.35433070866141736" header="0.31496062992125984" footer="0.31496062992125984"/>
  <pageSetup paperSize="9" scale="12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>
      <selection activeCell="A2" sqref="A2"/>
    </sheetView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121"/>
  <sheetViews>
    <sheetView workbookViewId="0">
      <pane ySplit="4" topLeftCell="A67" activePane="bottomLeft" state="frozen"/>
      <selection pane="bottomLeft" activeCell="D88" sqref="D88"/>
    </sheetView>
  </sheetViews>
  <sheetFormatPr defaultRowHeight="12.75" x14ac:dyDescent="0.2"/>
  <cols>
    <col min="1" max="1" width="10.85546875" style="32" customWidth="1"/>
    <col min="2" max="2" width="9.85546875" style="33" customWidth="1"/>
    <col min="3" max="3" width="40.85546875" style="23" customWidth="1"/>
    <col min="4" max="6" width="10.85546875" style="24" customWidth="1"/>
    <col min="7" max="7" width="8.7109375" style="25"/>
    <col min="8" max="8" width="9.7109375" style="34" bestFit="1" customWidth="1"/>
    <col min="9" max="9" width="16.42578125" style="25" customWidth="1"/>
    <col min="10" max="256" width="8.7109375" style="25"/>
    <col min="257" max="258" width="10.85546875" style="25" customWidth="1"/>
    <col min="259" max="259" width="30.28515625" style="25" customWidth="1"/>
    <col min="260" max="262" width="14" style="25" customWidth="1"/>
    <col min="263" max="264" width="8.7109375" style="25"/>
    <col min="265" max="265" width="16.42578125" style="25" customWidth="1"/>
    <col min="266" max="512" width="8.7109375" style="25"/>
    <col min="513" max="514" width="10.85546875" style="25" customWidth="1"/>
    <col min="515" max="515" width="30.28515625" style="25" customWidth="1"/>
    <col min="516" max="518" width="14" style="25" customWidth="1"/>
    <col min="519" max="520" width="8.7109375" style="25"/>
    <col min="521" max="521" width="16.42578125" style="25" customWidth="1"/>
    <col min="522" max="768" width="8.7109375" style="25"/>
    <col min="769" max="770" width="10.85546875" style="25" customWidth="1"/>
    <col min="771" max="771" width="30.28515625" style="25" customWidth="1"/>
    <col min="772" max="774" width="14" style="25" customWidth="1"/>
    <col min="775" max="776" width="8.7109375" style="25"/>
    <col min="777" max="777" width="16.42578125" style="25" customWidth="1"/>
    <col min="778" max="1024" width="8.7109375" style="25"/>
    <col min="1025" max="1026" width="10.85546875" style="25" customWidth="1"/>
    <col min="1027" max="1027" width="30.28515625" style="25" customWidth="1"/>
    <col min="1028" max="1030" width="14" style="25" customWidth="1"/>
    <col min="1031" max="1032" width="8.7109375" style="25"/>
    <col min="1033" max="1033" width="16.42578125" style="25" customWidth="1"/>
    <col min="1034" max="1280" width="8.7109375" style="25"/>
    <col min="1281" max="1282" width="10.85546875" style="25" customWidth="1"/>
    <col min="1283" max="1283" width="30.28515625" style="25" customWidth="1"/>
    <col min="1284" max="1286" width="14" style="25" customWidth="1"/>
    <col min="1287" max="1288" width="8.7109375" style="25"/>
    <col min="1289" max="1289" width="16.42578125" style="25" customWidth="1"/>
    <col min="1290" max="1536" width="8.7109375" style="25"/>
    <col min="1537" max="1538" width="10.85546875" style="25" customWidth="1"/>
    <col min="1539" max="1539" width="30.28515625" style="25" customWidth="1"/>
    <col min="1540" max="1542" width="14" style="25" customWidth="1"/>
    <col min="1543" max="1544" width="8.7109375" style="25"/>
    <col min="1545" max="1545" width="16.42578125" style="25" customWidth="1"/>
    <col min="1546" max="1792" width="8.7109375" style="25"/>
    <col min="1793" max="1794" width="10.85546875" style="25" customWidth="1"/>
    <col min="1795" max="1795" width="30.28515625" style="25" customWidth="1"/>
    <col min="1796" max="1798" width="14" style="25" customWidth="1"/>
    <col min="1799" max="1800" width="8.7109375" style="25"/>
    <col min="1801" max="1801" width="16.42578125" style="25" customWidth="1"/>
    <col min="1802" max="2048" width="8.7109375" style="25"/>
    <col min="2049" max="2050" width="10.85546875" style="25" customWidth="1"/>
    <col min="2051" max="2051" width="30.28515625" style="25" customWidth="1"/>
    <col min="2052" max="2054" width="14" style="25" customWidth="1"/>
    <col min="2055" max="2056" width="8.7109375" style="25"/>
    <col min="2057" max="2057" width="16.42578125" style="25" customWidth="1"/>
    <col min="2058" max="2304" width="8.7109375" style="25"/>
    <col min="2305" max="2306" width="10.85546875" style="25" customWidth="1"/>
    <col min="2307" max="2307" width="30.28515625" style="25" customWidth="1"/>
    <col min="2308" max="2310" width="14" style="25" customWidth="1"/>
    <col min="2311" max="2312" width="8.7109375" style="25"/>
    <col min="2313" max="2313" width="16.42578125" style="25" customWidth="1"/>
    <col min="2314" max="2560" width="8.7109375" style="25"/>
    <col min="2561" max="2562" width="10.85546875" style="25" customWidth="1"/>
    <col min="2563" max="2563" width="30.28515625" style="25" customWidth="1"/>
    <col min="2564" max="2566" width="14" style="25" customWidth="1"/>
    <col min="2567" max="2568" width="8.7109375" style="25"/>
    <col min="2569" max="2569" width="16.42578125" style="25" customWidth="1"/>
    <col min="2570" max="2816" width="8.7109375" style="25"/>
    <col min="2817" max="2818" width="10.85546875" style="25" customWidth="1"/>
    <col min="2819" max="2819" width="30.28515625" style="25" customWidth="1"/>
    <col min="2820" max="2822" width="14" style="25" customWidth="1"/>
    <col min="2823" max="2824" width="8.7109375" style="25"/>
    <col min="2825" max="2825" width="16.42578125" style="25" customWidth="1"/>
    <col min="2826" max="3072" width="8.7109375" style="25"/>
    <col min="3073" max="3074" width="10.85546875" style="25" customWidth="1"/>
    <col min="3075" max="3075" width="30.28515625" style="25" customWidth="1"/>
    <col min="3076" max="3078" width="14" style="25" customWidth="1"/>
    <col min="3079" max="3080" width="8.7109375" style="25"/>
    <col min="3081" max="3081" width="16.42578125" style="25" customWidth="1"/>
    <col min="3082" max="3328" width="8.7109375" style="25"/>
    <col min="3329" max="3330" width="10.85546875" style="25" customWidth="1"/>
    <col min="3331" max="3331" width="30.28515625" style="25" customWidth="1"/>
    <col min="3332" max="3334" width="14" style="25" customWidth="1"/>
    <col min="3335" max="3336" width="8.7109375" style="25"/>
    <col min="3337" max="3337" width="16.42578125" style="25" customWidth="1"/>
    <col min="3338" max="3584" width="8.7109375" style="25"/>
    <col min="3585" max="3586" width="10.85546875" style="25" customWidth="1"/>
    <col min="3587" max="3587" width="30.28515625" style="25" customWidth="1"/>
    <col min="3588" max="3590" width="14" style="25" customWidth="1"/>
    <col min="3591" max="3592" width="8.7109375" style="25"/>
    <col min="3593" max="3593" width="16.42578125" style="25" customWidth="1"/>
    <col min="3594" max="3840" width="8.7109375" style="25"/>
    <col min="3841" max="3842" width="10.85546875" style="25" customWidth="1"/>
    <col min="3843" max="3843" width="30.28515625" style="25" customWidth="1"/>
    <col min="3844" max="3846" width="14" style="25" customWidth="1"/>
    <col min="3847" max="3848" width="8.7109375" style="25"/>
    <col min="3849" max="3849" width="16.42578125" style="25" customWidth="1"/>
    <col min="3850" max="4096" width="8.7109375" style="25"/>
    <col min="4097" max="4098" width="10.85546875" style="25" customWidth="1"/>
    <col min="4099" max="4099" width="30.28515625" style="25" customWidth="1"/>
    <col min="4100" max="4102" width="14" style="25" customWidth="1"/>
    <col min="4103" max="4104" width="8.7109375" style="25"/>
    <col min="4105" max="4105" width="16.42578125" style="25" customWidth="1"/>
    <col min="4106" max="4352" width="8.7109375" style="25"/>
    <col min="4353" max="4354" width="10.85546875" style="25" customWidth="1"/>
    <col min="4355" max="4355" width="30.28515625" style="25" customWidth="1"/>
    <col min="4356" max="4358" width="14" style="25" customWidth="1"/>
    <col min="4359" max="4360" width="8.7109375" style="25"/>
    <col min="4361" max="4361" width="16.42578125" style="25" customWidth="1"/>
    <col min="4362" max="4608" width="8.7109375" style="25"/>
    <col min="4609" max="4610" width="10.85546875" style="25" customWidth="1"/>
    <col min="4611" max="4611" width="30.28515625" style="25" customWidth="1"/>
    <col min="4612" max="4614" width="14" style="25" customWidth="1"/>
    <col min="4615" max="4616" width="8.7109375" style="25"/>
    <col min="4617" max="4617" width="16.42578125" style="25" customWidth="1"/>
    <col min="4618" max="4864" width="8.7109375" style="25"/>
    <col min="4865" max="4866" width="10.85546875" style="25" customWidth="1"/>
    <col min="4867" max="4867" width="30.28515625" style="25" customWidth="1"/>
    <col min="4868" max="4870" width="14" style="25" customWidth="1"/>
    <col min="4871" max="4872" width="8.7109375" style="25"/>
    <col min="4873" max="4873" width="16.42578125" style="25" customWidth="1"/>
    <col min="4874" max="5120" width="8.7109375" style="25"/>
    <col min="5121" max="5122" width="10.85546875" style="25" customWidth="1"/>
    <col min="5123" max="5123" width="30.28515625" style="25" customWidth="1"/>
    <col min="5124" max="5126" width="14" style="25" customWidth="1"/>
    <col min="5127" max="5128" width="8.7109375" style="25"/>
    <col min="5129" max="5129" width="16.42578125" style="25" customWidth="1"/>
    <col min="5130" max="5376" width="8.7109375" style="25"/>
    <col min="5377" max="5378" width="10.85546875" style="25" customWidth="1"/>
    <col min="5379" max="5379" width="30.28515625" style="25" customWidth="1"/>
    <col min="5380" max="5382" width="14" style="25" customWidth="1"/>
    <col min="5383" max="5384" width="8.7109375" style="25"/>
    <col min="5385" max="5385" width="16.42578125" style="25" customWidth="1"/>
    <col min="5386" max="5632" width="8.7109375" style="25"/>
    <col min="5633" max="5634" width="10.85546875" style="25" customWidth="1"/>
    <col min="5635" max="5635" width="30.28515625" style="25" customWidth="1"/>
    <col min="5636" max="5638" width="14" style="25" customWidth="1"/>
    <col min="5639" max="5640" width="8.7109375" style="25"/>
    <col min="5641" max="5641" width="16.42578125" style="25" customWidth="1"/>
    <col min="5642" max="5888" width="8.7109375" style="25"/>
    <col min="5889" max="5890" width="10.85546875" style="25" customWidth="1"/>
    <col min="5891" max="5891" width="30.28515625" style="25" customWidth="1"/>
    <col min="5892" max="5894" width="14" style="25" customWidth="1"/>
    <col min="5895" max="5896" width="8.7109375" style="25"/>
    <col min="5897" max="5897" width="16.42578125" style="25" customWidth="1"/>
    <col min="5898" max="6144" width="8.7109375" style="25"/>
    <col min="6145" max="6146" width="10.85546875" style="25" customWidth="1"/>
    <col min="6147" max="6147" width="30.28515625" style="25" customWidth="1"/>
    <col min="6148" max="6150" width="14" style="25" customWidth="1"/>
    <col min="6151" max="6152" width="8.7109375" style="25"/>
    <col min="6153" max="6153" width="16.42578125" style="25" customWidth="1"/>
    <col min="6154" max="6400" width="8.7109375" style="25"/>
    <col min="6401" max="6402" width="10.85546875" style="25" customWidth="1"/>
    <col min="6403" max="6403" width="30.28515625" style="25" customWidth="1"/>
    <col min="6404" max="6406" width="14" style="25" customWidth="1"/>
    <col min="6407" max="6408" width="8.7109375" style="25"/>
    <col min="6409" max="6409" width="16.42578125" style="25" customWidth="1"/>
    <col min="6410" max="6656" width="8.7109375" style="25"/>
    <col min="6657" max="6658" width="10.85546875" style="25" customWidth="1"/>
    <col min="6659" max="6659" width="30.28515625" style="25" customWidth="1"/>
    <col min="6660" max="6662" width="14" style="25" customWidth="1"/>
    <col min="6663" max="6664" width="8.7109375" style="25"/>
    <col min="6665" max="6665" width="16.42578125" style="25" customWidth="1"/>
    <col min="6666" max="6912" width="8.7109375" style="25"/>
    <col min="6913" max="6914" width="10.85546875" style="25" customWidth="1"/>
    <col min="6915" max="6915" width="30.28515625" style="25" customWidth="1"/>
    <col min="6916" max="6918" width="14" style="25" customWidth="1"/>
    <col min="6919" max="6920" width="8.7109375" style="25"/>
    <col min="6921" max="6921" width="16.42578125" style="25" customWidth="1"/>
    <col min="6922" max="7168" width="8.7109375" style="25"/>
    <col min="7169" max="7170" width="10.85546875" style="25" customWidth="1"/>
    <col min="7171" max="7171" width="30.28515625" style="25" customWidth="1"/>
    <col min="7172" max="7174" width="14" style="25" customWidth="1"/>
    <col min="7175" max="7176" width="8.7109375" style="25"/>
    <col min="7177" max="7177" width="16.42578125" style="25" customWidth="1"/>
    <col min="7178" max="7424" width="8.7109375" style="25"/>
    <col min="7425" max="7426" width="10.85546875" style="25" customWidth="1"/>
    <col min="7427" max="7427" width="30.28515625" style="25" customWidth="1"/>
    <col min="7428" max="7430" width="14" style="25" customWidth="1"/>
    <col min="7431" max="7432" width="8.7109375" style="25"/>
    <col min="7433" max="7433" width="16.42578125" style="25" customWidth="1"/>
    <col min="7434" max="7680" width="8.7109375" style="25"/>
    <col min="7681" max="7682" width="10.85546875" style="25" customWidth="1"/>
    <col min="7683" max="7683" width="30.28515625" style="25" customWidth="1"/>
    <col min="7684" max="7686" width="14" style="25" customWidth="1"/>
    <col min="7687" max="7688" width="8.7109375" style="25"/>
    <col min="7689" max="7689" width="16.42578125" style="25" customWidth="1"/>
    <col min="7690" max="7936" width="8.7109375" style="25"/>
    <col min="7937" max="7938" width="10.85546875" style="25" customWidth="1"/>
    <col min="7939" max="7939" width="30.28515625" style="25" customWidth="1"/>
    <col min="7940" max="7942" width="14" style="25" customWidth="1"/>
    <col min="7943" max="7944" width="8.7109375" style="25"/>
    <col min="7945" max="7945" width="16.42578125" style="25" customWidth="1"/>
    <col min="7946" max="8192" width="8.7109375" style="25"/>
    <col min="8193" max="8194" width="10.85546875" style="25" customWidth="1"/>
    <col min="8195" max="8195" width="30.28515625" style="25" customWidth="1"/>
    <col min="8196" max="8198" width="14" style="25" customWidth="1"/>
    <col min="8199" max="8200" width="8.7109375" style="25"/>
    <col min="8201" max="8201" width="16.42578125" style="25" customWidth="1"/>
    <col min="8202" max="8448" width="8.7109375" style="25"/>
    <col min="8449" max="8450" width="10.85546875" style="25" customWidth="1"/>
    <col min="8451" max="8451" width="30.28515625" style="25" customWidth="1"/>
    <col min="8452" max="8454" width="14" style="25" customWidth="1"/>
    <col min="8455" max="8456" width="8.7109375" style="25"/>
    <col min="8457" max="8457" width="16.42578125" style="25" customWidth="1"/>
    <col min="8458" max="8704" width="8.7109375" style="25"/>
    <col min="8705" max="8706" width="10.85546875" style="25" customWidth="1"/>
    <col min="8707" max="8707" width="30.28515625" style="25" customWidth="1"/>
    <col min="8708" max="8710" width="14" style="25" customWidth="1"/>
    <col min="8711" max="8712" width="8.7109375" style="25"/>
    <col min="8713" max="8713" width="16.42578125" style="25" customWidth="1"/>
    <col min="8714" max="8960" width="8.7109375" style="25"/>
    <col min="8961" max="8962" width="10.85546875" style="25" customWidth="1"/>
    <col min="8963" max="8963" width="30.28515625" style="25" customWidth="1"/>
    <col min="8964" max="8966" width="14" style="25" customWidth="1"/>
    <col min="8967" max="8968" width="8.7109375" style="25"/>
    <col min="8969" max="8969" width="16.42578125" style="25" customWidth="1"/>
    <col min="8970" max="9216" width="8.7109375" style="25"/>
    <col min="9217" max="9218" width="10.85546875" style="25" customWidth="1"/>
    <col min="9219" max="9219" width="30.28515625" style="25" customWidth="1"/>
    <col min="9220" max="9222" width="14" style="25" customWidth="1"/>
    <col min="9223" max="9224" width="8.7109375" style="25"/>
    <col min="9225" max="9225" width="16.42578125" style="25" customWidth="1"/>
    <col min="9226" max="9472" width="8.7109375" style="25"/>
    <col min="9473" max="9474" width="10.85546875" style="25" customWidth="1"/>
    <col min="9475" max="9475" width="30.28515625" style="25" customWidth="1"/>
    <col min="9476" max="9478" width="14" style="25" customWidth="1"/>
    <col min="9479" max="9480" width="8.7109375" style="25"/>
    <col min="9481" max="9481" width="16.42578125" style="25" customWidth="1"/>
    <col min="9482" max="9728" width="8.7109375" style="25"/>
    <col min="9729" max="9730" width="10.85546875" style="25" customWidth="1"/>
    <col min="9731" max="9731" width="30.28515625" style="25" customWidth="1"/>
    <col min="9732" max="9734" width="14" style="25" customWidth="1"/>
    <col min="9735" max="9736" width="8.7109375" style="25"/>
    <col min="9737" max="9737" width="16.42578125" style="25" customWidth="1"/>
    <col min="9738" max="9984" width="8.7109375" style="25"/>
    <col min="9985" max="9986" width="10.85546875" style="25" customWidth="1"/>
    <col min="9987" max="9987" width="30.28515625" style="25" customWidth="1"/>
    <col min="9988" max="9990" width="14" style="25" customWidth="1"/>
    <col min="9991" max="9992" width="8.7109375" style="25"/>
    <col min="9993" max="9993" width="16.42578125" style="25" customWidth="1"/>
    <col min="9994" max="10240" width="8.7109375" style="25"/>
    <col min="10241" max="10242" width="10.85546875" style="25" customWidth="1"/>
    <col min="10243" max="10243" width="30.28515625" style="25" customWidth="1"/>
    <col min="10244" max="10246" width="14" style="25" customWidth="1"/>
    <col min="10247" max="10248" width="8.7109375" style="25"/>
    <col min="10249" max="10249" width="16.42578125" style="25" customWidth="1"/>
    <col min="10250" max="10496" width="8.7109375" style="25"/>
    <col min="10497" max="10498" width="10.85546875" style="25" customWidth="1"/>
    <col min="10499" max="10499" width="30.28515625" style="25" customWidth="1"/>
    <col min="10500" max="10502" width="14" style="25" customWidth="1"/>
    <col min="10503" max="10504" width="8.7109375" style="25"/>
    <col min="10505" max="10505" width="16.42578125" style="25" customWidth="1"/>
    <col min="10506" max="10752" width="8.7109375" style="25"/>
    <col min="10753" max="10754" width="10.85546875" style="25" customWidth="1"/>
    <col min="10755" max="10755" width="30.28515625" style="25" customWidth="1"/>
    <col min="10756" max="10758" width="14" style="25" customWidth="1"/>
    <col min="10759" max="10760" width="8.7109375" style="25"/>
    <col min="10761" max="10761" width="16.42578125" style="25" customWidth="1"/>
    <col min="10762" max="11008" width="8.7109375" style="25"/>
    <col min="11009" max="11010" width="10.85546875" style="25" customWidth="1"/>
    <col min="11011" max="11011" width="30.28515625" style="25" customWidth="1"/>
    <col min="11012" max="11014" width="14" style="25" customWidth="1"/>
    <col min="11015" max="11016" width="8.7109375" style="25"/>
    <col min="11017" max="11017" width="16.42578125" style="25" customWidth="1"/>
    <col min="11018" max="11264" width="8.7109375" style="25"/>
    <col min="11265" max="11266" width="10.85546875" style="25" customWidth="1"/>
    <col min="11267" max="11267" width="30.28515625" style="25" customWidth="1"/>
    <col min="11268" max="11270" width="14" style="25" customWidth="1"/>
    <col min="11271" max="11272" width="8.7109375" style="25"/>
    <col min="11273" max="11273" width="16.42578125" style="25" customWidth="1"/>
    <col min="11274" max="11520" width="8.7109375" style="25"/>
    <col min="11521" max="11522" width="10.85546875" style="25" customWidth="1"/>
    <col min="11523" max="11523" width="30.28515625" style="25" customWidth="1"/>
    <col min="11524" max="11526" width="14" style="25" customWidth="1"/>
    <col min="11527" max="11528" width="8.7109375" style="25"/>
    <col min="11529" max="11529" width="16.42578125" style="25" customWidth="1"/>
    <col min="11530" max="11776" width="8.7109375" style="25"/>
    <col min="11777" max="11778" width="10.85546875" style="25" customWidth="1"/>
    <col min="11779" max="11779" width="30.28515625" style="25" customWidth="1"/>
    <col min="11780" max="11782" width="14" style="25" customWidth="1"/>
    <col min="11783" max="11784" width="8.7109375" style="25"/>
    <col min="11785" max="11785" width="16.42578125" style="25" customWidth="1"/>
    <col min="11786" max="12032" width="8.7109375" style="25"/>
    <col min="12033" max="12034" width="10.85546875" style="25" customWidth="1"/>
    <col min="12035" max="12035" width="30.28515625" style="25" customWidth="1"/>
    <col min="12036" max="12038" width="14" style="25" customWidth="1"/>
    <col min="12039" max="12040" width="8.7109375" style="25"/>
    <col min="12041" max="12041" width="16.42578125" style="25" customWidth="1"/>
    <col min="12042" max="12288" width="8.7109375" style="25"/>
    <col min="12289" max="12290" width="10.85546875" style="25" customWidth="1"/>
    <col min="12291" max="12291" width="30.28515625" style="25" customWidth="1"/>
    <col min="12292" max="12294" width="14" style="25" customWidth="1"/>
    <col min="12295" max="12296" width="8.7109375" style="25"/>
    <col min="12297" max="12297" width="16.42578125" style="25" customWidth="1"/>
    <col min="12298" max="12544" width="8.7109375" style="25"/>
    <col min="12545" max="12546" width="10.85546875" style="25" customWidth="1"/>
    <col min="12547" max="12547" width="30.28515625" style="25" customWidth="1"/>
    <col min="12548" max="12550" width="14" style="25" customWidth="1"/>
    <col min="12551" max="12552" width="8.7109375" style="25"/>
    <col min="12553" max="12553" width="16.42578125" style="25" customWidth="1"/>
    <col min="12554" max="12800" width="8.7109375" style="25"/>
    <col min="12801" max="12802" width="10.85546875" style="25" customWidth="1"/>
    <col min="12803" max="12803" width="30.28515625" style="25" customWidth="1"/>
    <col min="12804" max="12806" width="14" style="25" customWidth="1"/>
    <col min="12807" max="12808" width="8.7109375" style="25"/>
    <col min="12809" max="12809" width="16.42578125" style="25" customWidth="1"/>
    <col min="12810" max="13056" width="8.7109375" style="25"/>
    <col min="13057" max="13058" width="10.85546875" style="25" customWidth="1"/>
    <col min="13059" max="13059" width="30.28515625" style="25" customWidth="1"/>
    <col min="13060" max="13062" width="14" style="25" customWidth="1"/>
    <col min="13063" max="13064" width="8.7109375" style="25"/>
    <col min="13065" max="13065" width="16.42578125" style="25" customWidth="1"/>
    <col min="13066" max="13312" width="8.7109375" style="25"/>
    <col min="13313" max="13314" width="10.85546875" style="25" customWidth="1"/>
    <col min="13315" max="13315" width="30.28515625" style="25" customWidth="1"/>
    <col min="13316" max="13318" width="14" style="25" customWidth="1"/>
    <col min="13319" max="13320" width="8.7109375" style="25"/>
    <col min="13321" max="13321" width="16.42578125" style="25" customWidth="1"/>
    <col min="13322" max="13568" width="8.7109375" style="25"/>
    <col min="13569" max="13570" width="10.85546875" style="25" customWidth="1"/>
    <col min="13571" max="13571" width="30.28515625" style="25" customWidth="1"/>
    <col min="13572" max="13574" width="14" style="25" customWidth="1"/>
    <col min="13575" max="13576" width="8.7109375" style="25"/>
    <col min="13577" max="13577" width="16.42578125" style="25" customWidth="1"/>
    <col min="13578" max="13824" width="8.7109375" style="25"/>
    <col min="13825" max="13826" width="10.85546875" style="25" customWidth="1"/>
    <col min="13827" max="13827" width="30.28515625" style="25" customWidth="1"/>
    <col min="13828" max="13830" width="14" style="25" customWidth="1"/>
    <col min="13831" max="13832" width="8.7109375" style="25"/>
    <col min="13833" max="13833" width="16.42578125" style="25" customWidth="1"/>
    <col min="13834" max="14080" width="8.7109375" style="25"/>
    <col min="14081" max="14082" width="10.85546875" style="25" customWidth="1"/>
    <col min="14083" max="14083" width="30.28515625" style="25" customWidth="1"/>
    <col min="14084" max="14086" width="14" style="25" customWidth="1"/>
    <col min="14087" max="14088" width="8.7109375" style="25"/>
    <col min="14089" max="14089" width="16.42578125" style="25" customWidth="1"/>
    <col min="14090" max="14336" width="8.7109375" style="25"/>
    <col min="14337" max="14338" width="10.85546875" style="25" customWidth="1"/>
    <col min="14339" max="14339" width="30.28515625" style="25" customWidth="1"/>
    <col min="14340" max="14342" width="14" style="25" customWidth="1"/>
    <col min="14343" max="14344" width="8.7109375" style="25"/>
    <col min="14345" max="14345" width="16.42578125" style="25" customWidth="1"/>
    <col min="14346" max="14592" width="8.7109375" style="25"/>
    <col min="14593" max="14594" width="10.85546875" style="25" customWidth="1"/>
    <col min="14595" max="14595" width="30.28515625" style="25" customWidth="1"/>
    <col min="14596" max="14598" width="14" style="25" customWidth="1"/>
    <col min="14599" max="14600" width="8.7109375" style="25"/>
    <col min="14601" max="14601" width="16.42578125" style="25" customWidth="1"/>
    <col min="14602" max="14848" width="8.7109375" style="25"/>
    <col min="14849" max="14850" width="10.85546875" style="25" customWidth="1"/>
    <col min="14851" max="14851" width="30.28515625" style="25" customWidth="1"/>
    <col min="14852" max="14854" width="14" style="25" customWidth="1"/>
    <col min="14855" max="14856" width="8.7109375" style="25"/>
    <col min="14857" max="14857" width="16.42578125" style="25" customWidth="1"/>
    <col min="14858" max="15104" width="8.7109375" style="25"/>
    <col min="15105" max="15106" width="10.85546875" style="25" customWidth="1"/>
    <col min="15107" max="15107" width="30.28515625" style="25" customWidth="1"/>
    <col min="15108" max="15110" width="14" style="25" customWidth="1"/>
    <col min="15111" max="15112" width="8.7109375" style="25"/>
    <col min="15113" max="15113" width="16.42578125" style="25" customWidth="1"/>
    <col min="15114" max="15360" width="8.7109375" style="25"/>
    <col min="15361" max="15362" width="10.85546875" style="25" customWidth="1"/>
    <col min="15363" max="15363" width="30.28515625" style="25" customWidth="1"/>
    <col min="15364" max="15366" width="14" style="25" customWidth="1"/>
    <col min="15367" max="15368" width="8.7109375" style="25"/>
    <col min="15369" max="15369" width="16.42578125" style="25" customWidth="1"/>
    <col min="15370" max="15616" width="8.7109375" style="25"/>
    <col min="15617" max="15618" width="10.85546875" style="25" customWidth="1"/>
    <col min="15619" max="15619" width="30.28515625" style="25" customWidth="1"/>
    <col min="15620" max="15622" width="14" style="25" customWidth="1"/>
    <col min="15623" max="15624" width="8.7109375" style="25"/>
    <col min="15625" max="15625" width="16.42578125" style="25" customWidth="1"/>
    <col min="15626" max="15872" width="8.7109375" style="25"/>
    <col min="15873" max="15874" width="10.85546875" style="25" customWidth="1"/>
    <col min="15875" max="15875" width="30.28515625" style="25" customWidth="1"/>
    <col min="15876" max="15878" width="14" style="25" customWidth="1"/>
    <col min="15879" max="15880" width="8.7109375" style="25"/>
    <col min="15881" max="15881" width="16.42578125" style="25" customWidth="1"/>
    <col min="15882" max="16128" width="8.7109375" style="25"/>
    <col min="16129" max="16130" width="10.85546875" style="25" customWidth="1"/>
    <col min="16131" max="16131" width="30.28515625" style="25" customWidth="1"/>
    <col min="16132" max="16134" width="14" style="25" customWidth="1"/>
    <col min="16135" max="16136" width="8.7109375" style="25"/>
    <col min="16137" max="16137" width="16.42578125" style="25" customWidth="1"/>
    <col min="16138" max="16384" width="8.7109375" style="25"/>
  </cols>
  <sheetData>
    <row r="1" spans="1:15" ht="18" x14ac:dyDescent="0.25">
      <c r="A1" s="21"/>
      <c r="B1" s="22"/>
    </row>
    <row r="2" spans="1:15" ht="15.75" x14ac:dyDescent="0.25">
      <c r="A2" s="26" t="s">
        <v>125</v>
      </c>
      <c r="B2" s="27"/>
    </row>
    <row r="4" spans="1:15" s="30" customFormat="1" x14ac:dyDescent="0.2">
      <c r="A4" s="28" t="s">
        <v>119</v>
      </c>
      <c r="B4" s="29" t="s">
        <v>120</v>
      </c>
      <c r="C4" s="30" t="s">
        <v>121</v>
      </c>
      <c r="D4" s="31" t="s">
        <v>122</v>
      </c>
      <c r="E4" s="31" t="s">
        <v>123</v>
      </c>
      <c r="F4" s="31" t="s">
        <v>124</v>
      </c>
      <c r="H4" s="35"/>
    </row>
    <row r="6" spans="1:15" ht="15" x14ac:dyDescent="0.25">
      <c r="A6" s="36"/>
      <c r="B6" s="1"/>
      <c r="C6" s="1"/>
      <c r="D6" s="38">
        <v>48.27</v>
      </c>
      <c r="E6" s="39"/>
      <c r="F6" s="24">
        <f>SUM(D6-E6)</f>
        <v>48.27</v>
      </c>
      <c r="H6" s="36"/>
      <c r="I6" s="1"/>
      <c r="J6" s="1"/>
      <c r="K6" s="1"/>
      <c r="L6" s="1"/>
      <c r="M6"/>
      <c r="N6" s="1"/>
      <c r="O6"/>
    </row>
    <row r="7" spans="1:15" ht="15" x14ac:dyDescent="0.25">
      <c r="A7" s="36"/>
      <c r="B7" s="1"/>
      <c r="C7" s="1"/>
      <c r="D7" s="38">
        <v>25.8</v>
      </c>
      <c r="E7" s="39"/>
      <c r="F7" s="24">
        <f t="shared" ref="F7:F70" si="0">SUM(F6+D7-E7)</f>
        <v>74.070000000000007</v>
      </c>
      <c r="H7" s="36"/>
      <c r="I7" s="1"/>
      <c r="J7" s="1"/>
      <c r="K7" s="1"/>
      <c r="L7" s="1"/>
      <c r="M7"/>
      <c r="N7" s="1"/>
      <c r="O7"/>
    </row>
    <row r="8" spans="1:15" ht="15" x14ac:dyDescent="0.25">
      <c r="A8" s="36"/>
      <c r="B8" s="1"/>
      <c r="C8" s="1"/>
      <c r="D8" s="39">
        <v>95.43</v>
      </c>
      <c r="E8" s="38"/>
      <c r="F8" s="24">
        <f>SUM(F7+D8-E8)</f>
        <v>169.5</v>
      </c>
      <c r="H8" s="36"/>
      <c r="I8" s="1"/>
      <c r="J8" s="1"/>
      <c r="K8" s="1"/>
      <c r="L8" s="1"/>
      <c r="M8" s="1"/>
      <c r="N8"/>
      <c r="O8"/>
    </row>
    <row r="9" spans="1:15" ht="15" x14ac:dyDescent="0.25">
      <c r="A9" s="36"/>
      <c r="B9" s="1"/>
      <c r="C9" s="1"/>
      <c r="D9" s="38">
        <v>47.28</v>
      </c>
      <c r="E9" s="39"/>
      <c r="F9" s="24">
        <f>SUM(F8+D9-E9)</f>
        <v>216.78</v>
      </c>
      <c r="H9" s="36"/>
      <c r="I9" s="1"/>
      <c r="J9" s="1"/>
      <c r="K9" s="1"/>
      <c r="L9" s="1"/>
      <c r="M9"/>
      <c r="N9" s="1"/>
      <c r="O9"/>
    </row>
    <row r="10" spans="1:15" ht="15" x14ac:dyDescent="0.25">
      <c r="A10" s="36"/>
      <c r="B10" s="1"/>
      <c r="C10" s="1"/>
      <c r="D10" s="38">
        <v>42.91</v>
      </c>
      <c r="E10" s="39"/>
      <c r="F10" s="24">
        <f>SUM(F9+D10-E10)</f>
        <v>259.69</v>
      </c>
      <c r="H10" s="36"/>
      <c r="I10" s="1"/>
      <c r="J10" s="1"/>
      <c r="K10" s="1"/>
      <c r="L10" s="1"/>
      <c r="M10"/>
      <c r="N10" s="1"/>
      <c r="O10"/>
    </row>
    <row r="11" spans="1:15" ht="15" x14ac:dyDescent="0.25">
      <c r="A11" s="36"/>
      <c r="B11" s="1"/>
      <c r="C11" s="1"/>
      <c r="D11" s="38">
        <v>85.69</v>
      </c>
      <c r="E11" s="39"/>
      <c r="F11" s="24">
        <f t="shared" si="0"/>
        <v>345.38</v>
      </c>
      <c r="H11" s="36"/>
      <c r="I11" s="1"/>
      <c r="J11" s="1"/>
      <c r="K11" s="1"/>
      <c r="L11" s="1"/>
      <c r="M11"/>
      <c r="N11" s="1"/>
      <c r="O11"/>
    </row>
    <row r="12" spans="1:15" ht="15" x14ac:dyDescent="0.25">
      <c r="A12" s="36"/>
      <c r="B12" s="1"/>
      <c r="C12" s="1"/>
      <c r="D12" s="38">
        <v>83.61</v>
      </c>
      <c r="E12" s="39"/>
      <c r="F12" s="24">
        <f t="shared" si="0"/>
        <v>428.99</v>
      </c>
      <c r="H12" s="36"/>
      <c r="I12" s="1"/>
      <c r="J12" s="1"/>
      <c r="K12" s="1"/>
      <c r="L12" s="1"/>
      <c r="M12"/>
      <c r="N12" s="1"/>
      <c r="O12"/>
    </row>
    <row r="13" spans="1:15" ht="15" x14ac:dyDescent="0.25">
      <c r="A13" s="36"/>
      <c r="B13" s="1"/>
      <c r="C13" s="1"/>
      <c r="D13" s="39">
        <v>41.89</v>
      </c>
      <c r="E13" s="38"/>
      <c r="F13" s="24">
        <f t="shared" si="0"/>
        <v>470.88</v>
      </c>
      <c r="H13" s="36"/>
      <c r="I13" s="1"/>
      <c r="J13" s="1"/>
      <c r="K13" s="1"/>
      <c r="L13" s="1"/>
      <c r="M13" s="1"/>
      <c r="N13"/>
      <c r="O13"/>
    </row>
    <row r="14" spans="1:15" ht="15" x14ac:dyDescent="0.25">
      <c r="A14" s="36"/>
      <c r="B14" s="1"/>
      <c r="C14" s="1"/>
      <c r="D14" s="38">
        <v>39.729999999999997</v>
      </c>
      <c r="E14" s="39"/>
      <c r="F14" s="24">
        <f t="shared" si="0"/>
        <v>510.61</v>
      </c>
      <c r="H14" s="36"/>
      <c r="I14" s="1"/>
      <c r="J14" s="1"/>
      <c r="K14" s="1"/>
      <c r="L14" s="1"/>
      <c r="M14"/>
      <c r="N14" s="1"/>
      <c r="O14"/>
    </row>
    <row r="15" spans="1:15" ht="15" x14ac:dyDescent="0.25">
      <c r="A15" s="36"/>
      <c r="B15" s="1"/>
      <c r="C15" s="1"/>
      <c r="D15" s="38">
        <v>79.55</v>
      </c>
      <c r="E15" s="39"/>
      <c r="F15" s="24">
        <f t="shared" si="0"/>
        <v>590.16</v>
      </c>
      <c r="H15" s="36"/>
      <c r="I15"/>
      <c r="J15"/>
      <c r="K15"/>
      <c r="L15"/>
      <c r="M15"/>
      <c r="N15"/>
      <c r="O15"/>
    </row>
    <row r="16" spans="1:15" ht="15" x14ac:dyDescent="0.25">
      <c r="A16" s="36"/>
      <c r="B16" s="1"/>
      <c r="C16" s="1"/>
      <c r="D16" s="38">
        <v>77.3</v>
      </c>
      <c r="E16" s="39"/>
      <c r="F16" s="24">
        <f t="shared" si="0"/>
        <v>667.45999999999992</v>
      </c>
      <c r="H16" s="36"/>
      <c r="I16"/>
      <c r="J16" s="1"/>
      <c r="K16"/>
      <c r="L16"/>
      <c r="M16"/>
      <c r="N16"/>
      <c r="O16"/>
    </row>
    <row r="17" spans="1:15" ht="15" x14ac:dyDescent="0.25">
      <c r="A17" s="36"/>
      <c r="B17" s="1"/>
      <c r="C17" s="1"/>
      <c r="D17" s="38">
        <v>38.840000000000003</v>
      </c>
      <c r="E17" s="39"/>
      <c r="F17" s="24">
        <f t="shared" si="0"/>
        <v>706.3</v>
      </c>
      <c r="H17" s="37"/>
      <c r="I17"/>
      <c r="J17"/>
      <c r="K17"/>
      <c r="L17"/>
      <c r="M17"/>
      <c r="N17"/>
      <c r="O17"/>
    </row>
    <row r="18" spans="1:15" ht="15" x14ac:dyDescent="0.25">
      <c r="A18" s="36"/>
      <c r="B18" s="1"/>
      <c r="C18" s="1"/>
      <c r="D18" s="38">
        <v>37.67</v>
      </c>
      <c r="E18" s="39"/>
      <c r="F18" s="24">
        <f t="shared" si="0"/>
        <v>743.96999999999991</v>
      </c>
      <c r="H18" s="36"/>
      <c r="I18"/>
      <c r="J18"/>
      <c r="K18"/>
      <c r="L18"/>
      <c r="M18"/>
      <c r="N18"/>
      <c r="O18"/>
    </row>
    <row r="19" spans="1:15" ht="15" x14ac:dyDescent="0.25">
      <c r="A19" s="36"/>
      <c r="B19" s="1"/>
      <c r="C19" s="1"/>
      <c r="D19" s="39">
        <v>75.209999999999994</v>
      </c>
      <c r="E19" s="38"/>
      <c r="F19" s="24">
        <f t="shared" si="0"/>
        <v>819.18</v>
      </c>
      <c r="H19" s="36"/>
      <c r="I19" s="1"/>
      <c r="J19" s="1"/>
      <c r="K19" s="1"/>
      <c r="L19" s="1"/>
      <c r="M19"/>
      <c r="N19" s="1"/>
      <c r="O19"/>
    </row>
    <row r="20" spans="1:15" ht="15" x14ac:dyDescent="0.25">
      <c r="A20" s="36"/>
      <c r="B20" s="1"/>
      <c r="C20" s="1"/>
      <c r="D20" s="38">
        <v>73.16</v>
      </c>
      <c r="E20" s="39"/>
      <c r="F20" s="24">
        <f t="shared" si="0"/>
        <v>892.33999999999992</v>
      </c>
      <c r="H20" s="36"/>
      <c r="I20" s="1"/>
      <c r="J20" s="1"/>
      <c r="K20" s="1"/>
      <c r="L20" s="1"/>
      <c r="M20"/>
      <c r="N20" s="1"/>
      <c r="O20"/>
    </row>
    <row r="21" spans="1:15" ht="15" x14ac:dyDescent="0.25">
      <c r="A21" s="36"/>
      <c r="B21" s="1"/>
      <c r="C21" s="1"/>
      <c r="D21" s="39">
        <v>36.520000000000003</v>
      </c>
      <c r="E21" s="38"/>
      <c r="F21" s="24">
        <f t="shared" si="0"/>
        <v>928.8599999999999</v>
      </c>
      <c r="H21" s="36"/>
      <c r="I21" s="1"/>
      <c r="J21" s="1"/>
      <c r="K21" s="1"/>
      <c r="L21" s="1"/>
      <c r="M21"/>
      <c r="N21" s="1"/>
      <c r="O21"/>
    </row>
    <row r="22" spans="1:15" ht="15" x14ac:dyDescent="0.25">
      <c r="A22" s="36"/>
      <c r="B22" s="1"/>
      <c r="C22" s="1"/>
      <c r="D22" s="38">
        <v>35.47</v>
      </c>
      <c r="E22" s="39"/>
      <c r="F22" s="24">
        <f t="shared" si="0"/>
        <v>964.32999999999993</v>
      </c>
      <c r="H22" s="36"/>
      <c r="I22" s="1"/>
      <c r="J22" s="1"/>
      <c r="K22" s="1"/>
      <c r="L22" s="1"/>
      <c r="M22"/>
      <c r="N22" s="1"/>
      <c r="O22"/>
    </row>
    <row r="23" spans="1:15" ht="15" x14ac:dyDescent="0.25">
      <c r="A23" s="36"/>
      <c r="B23" s="1"/>
      <c r="C23" s="1"/>
      <c r="D23" s="39">
        <v>70.89</v>
      </c>
      <c r="E23" s="38"/>
      <c r="F23" s="24">
        <f t="shared" si="0"/>
        <v>1035.22</v>
      </c>
      <c r="H23" s="36"/>
      <c r="I23" s="1"/>
      <c r="J23" s="1"/>
      <c r="K23" s="1"/>
      <c r="L23" s="1"/>
      <c r="M23" s="1"/>
      <c r="N23"/>
      <c r="O23"/>
    </row>
    <row r="24" spans="1:15" ht="15" x14ac:dyDescent="0.25">
      <c r="A24" s="36"/>
      <c r="B24" s="1"/>
      <c r="C24" s="1"/>
      <c r="D24" s="39">
        <v>68.98</v>
      </c>
      <c r="E24" s="38"/>
      <c r="F24" s="24">
        <f t="shared" si="0"/>
        <v>1104.2</v>
      </c>
      <c r="H24" s="36"/>
      <c r="I24" s="1"/>
      <c r="J24" s="1"/>
      <c r="K24" s="1"/>
      <c r="L24" s="1"/>
      <c r="M24"/>
      <c r="N24" s="1"/>
      <c r="O24"/>
    </row>
    <row r="25" spans="1:15" ht="15" x14ac:dyDescent="0.25">
      <c r="A25" s="36"/>
      <c r="B25" s="1"/>
      <c r="C25" s="1"/>
      <c r="D25" s="39">
        <v>34.32</v>
      </c>
      <c r="E25" s="38"/>
      <c r="F25" s="24">
        <f t="shared" si="0"/>
        <v>1138.52</v>
      </c>
      <c r="H25" s="36"/>
      <c r="I25" s="1"/>
      <c r="J25" s="1"/>
      <c r="K25" s="1"/>
      <c r="L25" s="1"/>
      <c r="M25" s="1"/>
      <c r="N25"/>
      <c r="O25"/>
    </row>
    <row r="26" spans="1:15" ht="15" x14ac:dyDescent="0.25">
      <c r="A26" s="36"/>
      <c r="B26" s="1"/>
      <c r="C26" s="1"/>
      <c r="D26" s="38">
        <v>33.49</v>
      </c>
      <c r="E26" s="39"/>
      <c r="F26" s="24">
        <f t="shared" si="0"/>
        <v>1172.01</v>
      </c>
      <c r="H26" s="36"/>
      <c r="I26" s="1"/>
      <c r="J26" s="1"/>
      <c r="K26" s="1"/>
      <c r="L26" s="1"/>
      <c r="M26"/>
      <c r="N26" s="1"/>
      <c r="O26"/>
    </row>
    <row r="27" spans="1:15" ht="15" x14ac:dyDescent="0.25">
      <c r="A27" s="36"/>
      <c r="B27" s="1"/>
      <c r="C27" s="1"/>
      <c r="D27" s="38">
        <v>67.069999999999993</v>
      </c>
      <c r="E27" s="39"/>
      <c r="F27" s="24">
        <f t="shared" si="0"/>
        <v>1239.08</v>
      </c>
      <c r="H27" s="36"/>
      <c r="I27" s="1"/>
      <c r="J27" s="1"/>
      <c r="K27" s="1"/>
      <c r="L27" s="1"/>
      <c r="M27" s="1"/>
      <c r="N27"/>
      <c r="O27"/>
    </row>
    <row r="28" spans="1:15" ht="15" x14ac:dyDescent="0.25">
      <c r="A28" s="36"/>
      <c r="B28" s="1"/>
      <c r="C28" s="1"/>
      <c r="D28" s="38">
        <v>64.959999999999994</v>
      </c>
      <c r="E28" s="39"/>
      <c r="F28" s="24">
        <f t="shared" si="0"/>
        <v>1304.04</v>
      </c>
      <c r="H28" s="36"/>
      <c r="I28" s="1"/>
      <c r="J28" s="1"/>
      <c r="K28" s="1"/>
      <c r="L28" s="1"/>
      <c r="M28" s="1"/>
      <c r="N28"/>
      <c r="O28"/>
    </row>
    <row r="29" spans="1:15" ht="15" x14ac:dyDescent="0.25">
      <c r="A29" s="36"/>
      <c r="B29" s="1"/>
      <c r="C29" s="1"/>
      <c r="D29" s="38">
        <v>32.6</v>
      </c>
      <c r="E29" s="39"/>
      <c r="F29" s="24">
        <f t="shared" si="0"/>
        <v>1336.6399999999999</v>
      </c>
      <c r="H29" s="36"/>
      <c r="I29" s="1"/>
      <c r="J29" s="1"/>
      <c r="K29" s="1"/>
      <c r="L29" s="1"/>
      <c r="M29" s="1"/>
      <c r="N29"/>
      <c r="O29"/>
    </row>
    <row r="30" spans="1:15" ht="15" x14ac:dyDescent="0.25">
      <c r="A30" s="36"/>
      <c r="B30" s="1"/>
      <c r="C30" s="1"/>
      <c r="D30" s="38">
        <v>31.57</v>
      </c>
      <c r="E30" s="39"/>
      <c r="F30" s="24">
        <f t="shared" si="0"/>
        <v>1368.2099999999998</v>
      </c>
      <c r="H30" s="36"/>
      <c r="I30" s="1"/>
      <c r="J30" s="1"/>
      <c r="K30" s="1"/>
      <c r="L30" s="1"/>
      <c r="M30"/>
      <c r="N30" s="1"/>
      <c r="O30"/>
    </row>
    <row r="31" spans="1:15" ht="15" x14ac:dyDescent="0.25">
      <c r="A31" s="36"/>
      <c r="B31" s="1"/>
      <c r="C31" s="1"/>
      <c r="D31" s="39">
        <v>63.33</v>
      </c>
      <c r="E31" s="38"/>
      <c r="F31" s="24">
        <f t="shared" si="0"/>
        <v>1431.5399999999997</v>
      </c>
      <c r="H31" s="36"/>
      <c r="I31" s="1"/>
      <c r="J31" s="1"/>
      <c r="K31" s="1"/>
      <c r="L31" s="1"/>
      <c r="M31"/>
      <c r="N31" s="1"/>
      <c r="O31"/>
    </row>
    <row r="32" spans="1:15" ht="15" x14ac:dyDescent="0.25">
      <c r="A32" s="36"/>
      <c r="B32" s="1"/>
      <c r="C32" s="1"/>
      <c r="D32" s="38">
        <v>61.66</v>
      </c>
      <c r="E32" s="39"/>
      <c r="F32" s="24">
        <f t="shared" si="0"/>
        <v>1493.1999999999998</v>
      </c>
      <c r="H32" s="36"/>
      <c r="I32" s="1"/>
      <c r="J32" s="1"/>
      <c r="K32" s="1"/>
      <c r="L32" s="1"/>
      <c r="M32"/>
      <c r="N32" s="1"/>
      <c r="O32"/>
    </row>
    <row r="33" spans="1:15" ht="15" x14ac:dyDescent="0.25">
      <c r="A33" s="36"/>
      <c r="B33" s="1"/>
      <c r="C33" s="1"/>
      <c r="D33" s="38">
        <v>30.86</v>
      </c>
      <c r="E33" s="39"/>
      <c r="F33" s="24">
        <f t="shared" si="0"/>
        <v>1524.0599999999997</v>
      </c>
      <c r="H33" s="36"/>
      <c r="I33" s="1"/>
      <c r="J33" s="1"/>
      <c r="K33" s="1"/>
      <c r="L33" s="1"/>
      <c r="M33"/>
      <c r="N33" s="1"/>
      <c r="O33"/>
    </row>
    <row r="34" spans="1:15" ht="15" x14ac:dyDescent="0.25">
      <c r="A34" s="36"/>
      <c r="B34" s="1"/>
      <c r="C34" s="1"/>
      <c r="D34" s="39">
        <v>30.09</v>
      </c>
      <c r="E34" s="38"/>
      <c r="F34" s="24">
        <f t="shared" si="0"/>
        <v>1554.1499999999996</v>
      </c>
      <c r="H34" s="36"/>
      <c r="I34" s="1"/>
      <c r="J34" s="1"/>
      <c r="K34" s="1"/>
      <c r="L34" s="1"/>
      <c r="M34"/>
      <c r="N34" s="1"/>
      <c r="O34"/>
    </row>
    <row r="35" spans="1:15" ht="15" x14ac:dyDescent="0.25">
      <c r="A35" s="36"/>
      <c r="B35" s="1"/>
      <c r="C35" s="1"/>
      <c r="D35" s="38">
        <v>60</v>
      </c>
      <c r="E35" s="39"/>
      <c r="F35" s="24">
        <f t="shared" si="0"/>
        <v>1614.1499999999996</v>
      </c>
      <c r="H35" s="36"/>
      <c r="I35" s="1"/>
      <c r="J35" s="1"/>
      <c r="K35" s="1"/>
      <c r="L35" s="1"/>
      <c r="M35" s="1"/>
      <c r="N35"/>
      <c r="O35"/>
    </row>
    <row r="36" spans="1:15" ht="15" x14ac:dyDescent="0.25">
      <c r="A36" s="36"/>
      <c r="B36" s="1"/>
      <c r="C36" s="1"/>
      <c r="D36" s="38">
        <v>58.42</v>
      </c>
      <c r="E36" s="39"/>
      <c r="F36" s="24">
        <f t="shared" si="0"/>
        <v>1672.5699999999997</v>
      </c>
      <c r="H36" s="36"/>
      <c r="I36" s="1"/>
      <c r="J36" s="1"/>
      <c r="K36" s="1"/>
      <c r="L36" s="1"/>
      <c r="M36"/>
      <c r="N36" s="1"/>
      <c r="O36"/>
    </row>
    <row r="37" spans="1:15" ht="15" x14ac:dyDescent="0.25">
      <c r="A37" s="36"/>
      <c r="B37" s="1"/>
      <c r="C37" s="1"/>
      <c r="D37" s="39">
        <v>57.16</v>
      </c>
      <c r="E37" s="38"/>
      <c r="F37" s="24">
        <f t="shared" si="0"/>
        <v>1729.7299999999998</v>
      </c>
      <c r="H37" s="36"/>
      <c r="I37" s="1"/>
      <c r="J37" s="1"/>
      <c r="K37" s="1"/>
      <c r="L37" s="1"/>
      <c r="M37"/>
      <c r="N37" s="1"/>
      <c r="O37"/>
    </row>
    <row r="38" spans="1:15" ht="15" x14ac:dyDescent="0.25">
      <c r="A38" s="36"/>
      <c r="B38" s="1"/>
      <c r="C38" s="1"/>
      <c r="D38" s="38">
        <v>92.85</v>
      </c>
      <c r="E38" s="39"/>
      <c r="F38" s="24">
        <f t="shared" si="0"/>
        <v>1822.5799999999997</v>
      </c>
      <c r="H38" s="36"/>
      <c r="I38" s="1"/>
      <c r="J38" s="1"/>
      <c r="K38" s="1"/>
      <c r="L38" s="1"/>
      <c r="M38" s="1"/>
      <c r="N38"/>
      <c r="O38"/>
    </row>
    <row r="39" spans="1:15" ht="15" x14ac:dyDescent="0.25">
      <c r="A39" s="36"/>
      <c r="B39" s="1"/>
      <c r="C39" s="1"/>
      <c r="D39" s="38">
        <v>92.47</v>
      </c>
      <c r="E39" s="39"/>
      <c r="F39" s="24">
        <f t="shared" si="0"/>
        <v>1915.0499999999997</v>
      </c>
      <c r="H39" s="36"/>
      <c r="I39" s="1"/>
      <c r="J39" s="1"/>
      <c r="K39" s="1"/>
      <c r="L39" s="1"/>
      <c r="M39"/>
      <c r="N39" s="1"/>
      <c r="O39"/>
    </row>
    <row r="40" spans="1:15" ht="15" x14ac:dyDescent="0.25">
      <c r="A40" s="36"/>
      <c r="B40" s="1"/>
      <c r="C40" s="1"/>
      <c r="D40" s="38">
        <v>55.45</v>
      </c>
      <c r="E40" s="39"/>
      <c r="F40" s="24">
        <f t="shared" si="0"/>
        <v>1970.4999999999998</v>
      </c>
      <c r="H40" s="36"/>
      <c r="I40" s="1"/>
      <c r="J40" s="1"/>
      <c r="K40" s="1"/>
      <c r="L40" s="1"/>
      <c r="M40"/>
      <c r="N40" s="1"/>
      <c r="O40"/>
    </row>
    <row r="41" spans="1:15" ht="15" x14ac:dyDescent="0.25">
      <c r="A41" s="36"/>
      <c r="B41" s="1"/>
      <c r="C41" s="1"/>
      <c r="D41" s="38">
        <v>54.14</v>
      </c>
      <c r="E41" s="39"/>
      <c r="F41" s="24">
        <f t="shared" si="0"/>
        <v>2024.6399999999999</v>
      </c>
      <c r="H41" s="36"/>
      <c r="I41" s="1"/>
      <c r="J41" s="1"/>
      <c r="K41" s="1"/>
      <c r="L41" s="1"/>
      <c r="M41" s="1"/>
      <c r="N41"/>
      <c r="O41"/>
    </row>
    <row r="42" spans="1:15" ht="15" x14ac:dyDescent="0.25">
      <c r="A42" s="36"/>
      <c r="B42" s="1"/>
      <c r="C42" s="1"/>
      <c r="D42" s="38">
        <v>92.13</v>
      </c>
      <c r="E42" s="39"/>
      <c r="F42" s="24">
        <f t="shared" si="0"/>
        <v>2116.77</v>
      </c>
      <c r="H42" s="36"/>
      <c r="I42" s="1"/>
      <c r="J42" s="1"/>
      <c r="K42" s="1"/>
      <c r="L42" s="1"/>
      <c r="M42"/>
      <c r="N42" s="1"/>
      <c r="O42"/>
    </row>
    <row r="43" spans="1:15" ht="15" x14ac:dyDescent="0.25">
      <c r="A43" s="36"/>
      <c r="B43" s="1"/>
      <c r="C43" s="1"/>
      <c r="D43" s="39">
        <v>91.78</v>
      </c>
      <c r="E43" s="38"/>
      <c r="F43" s="24">
        <f t="shared" si="0"/>
        <v>2208.5500000000002</v>
      </c>
      <c r="H43" s="36"/>
      <c r="I43" s="1"/>
      <c r="J43" s="1"/>
      <c r="K43" s="1"/>
      <c r="L43" s="1"/>
      <c r="M43"/>
      <c r="N43" s="1"/>
      <c r="O43"/>
    </row>
    <row r="44" spans="1:15" ht="15" x14ac:dyDescent="0.25">
      <c r="A44" s="36"/>
      <c r="B44" s="1"/>
      <c r="C44" s="1"/>
      <c r="D44" s="38">
        <v>52.32</v>
      </c>
      <c r="E44" s="39"/>
      <c r="F44" s="24">
        <f t="shared" si="0"/>
        <v>2260.8700000000003</v>
      </c>
      <c r="H44" s="36"/>
      <c r="I44" s="1"/>
      <c r="J44" s="1"/>
      <c r="K44" s="1"/>
      <c r="L44" s="1"/>
      <c r="M44"/>
      <c r="N44" s="1"/>
      <c r="O44"/>
    </row>
    <row r="45" spans="1:15" ht="15" x14ac:dyDescent="0.25">
      <c r="A45" s="36"/>
      <c r="B45" s="1"/>
      <c r="C45" s="1"/>
      <c r="D45" s="38">
        <v>50.76</v>
      </c>
      <c r="E45" s="39"/>
      <c r="F45" s="24">
        <f t="shared" si="0"/>
        <v>2311.6300000000006</v>
      </c>
      <c r="H45" s="36"/>
      <c r="I45" s="1"/>
      <c r="J45" s="1"/>
      <c r="K45" s="1"/>
      <c r="L45" s="1"/>
      <c r="M45"/>
      <c r="N45" s="1"/>
      <c r="O45"/>
    </row>
    <row r="46" spans="1:15" ht="15" x14ac:dyDescent="0.25">
      <c r="A46" s="36"/>
      <c r="B46" s="1"/>
      <c r="C46" s="1"/>
      <c r="D46" s="38">
        <v>91.44</v>
      </c>
      <c r="E46" s="39"/>
      <c r="F46" s="24">
        <f t="shared" si="0"/>
        <v>2403.0700000000006</v>
      </c>
      <c r="H46" s="36"/>
      <c r="I46" s="1"/>
      <c r="J46" s="1"/>
      <c r="K46" s="1"/>
      <c r="L46" s="1"/>
      <c r="M46"/>
      <c r="N46" s="1"/>
      <c r="O46"/>
    </row>
    <row r="47" spans="1:15" ht="15" x14ac:dyDescent="0.25">
      <c r="A47" s="36"/>
      <c r="B47" s="1"/>
      <c r="C47" s="1"/>
      <c r="D47" s="38">
        <v>91.1</v>
      </c>
      <c r="E47" s="39"/>
      <c r="F47" s="24">
        <f t="shared" si="0"/>
        <v>2494.1700000000005</v>
      </c>
      <c r="H47" s="36"/>
      <c r="I47" s="1"/>
      <c r="J47" s="1"/>
      <c r="K47" s="1"/>
      <c r="L47" s="1"/>
      <c r="M47" s="1"/>
      <c r="N47"/>
      <c r="O47"/>
    </row>
    <row r="48" spans="1:15" ht="15" x14ac:dyDescent="0.25">
      <c r="A48" s="36"/>
      <c r="B48" s="1"/>
      <c r="C48" s="1"/>
      <c r="D48" s="38">
        <v>49.36</v>
      </c>
      <c r="E48" s="39"/>
      <c r="F48" s="24">
        <f t="shared" si="0"/>
        <v>2543.5300000000007</v>
      </c>
      <c r="H48" s="36"/>
      <c r="I48" s="1"/>
      <c r="J48" s="1"/>
      <c r="K48" s="1"/>
      <c r="L48" s="1"/>
      <c r="M48"/>
      <c r="N48" s="1"/>
      <c r="O48"/>
    </row>
    <row r="49" spans="1:15" ht="15" x14ac:dyDescent="0.25">
      <c r="A49" s="36"/>
      <c r="B49" s="1"/>
      <c r="C49" s="1"/>
      <c r="D49" s="38">
        <v>47.74</v>
      </c>
      <c r="E49" s="39"/>
      <c r="F49" s="24">
        <f t="shared" si="0"/>
        <v>2591.2700000000004</v>
      </c>
      <c r="H49" s="36"/>
      <c r="I49" s="1"/>
      <c r="J49" s="1"/>
      <c r="K49" s="1"/>
      <c r="L49" s="1"/>
      <c r="M49"/>
      <c r="N49" s="1"/>
      <c r="O49"/>
    </row>
    <row r="50" spans="1:15" ht="15" x14ac:dyDescent="0.25">
      <c r="A50" s="36"/>
      <c r="B50" s="1"/>
      <c r="C50" s="1"/>
      <c r="D50" s="39">
        <v>90.74</v>
      </c>
      <c r="E50" s="38"/>
      <c r="F50" s="24">
        <f t="shared" si="0"/>
        <v>2682.01</v>
      </c>
      <c r="H50" s="36"/>
      <c r="I50" s="1"/>
      <c r="J50" s="1"/>
      <c r="K50" s="1"/>
      <c r="L50" s="1"/>
      <c r="M50"/>
      <c r="N50" s="1"/>
      <c r="O50"/>
    </row>
    <row r="51" spans="1:15" ht="15" x14ac:dyDescent="0.25">
      <c r="A51" s="36"/>
      <c r="B51" s="1"/>
      <c r="C51" s="1"/>
      <c r="D51" s="39">
        <v>245.95</v>
      </c>
      <c r="E51" s="38"/>
      <c r="F51" s="24">
        <f t="shared" si="0"/>
        <v>2927.96</v>
      </c>
      <c r="H51" s="36"/>
      <c r="I51" s="1"/>
      <c r="J51" s="1"/>
      <c r="K51" s="1"/>
      <c r="L51" s="1"/>
      <c r="M51"/>
      <c r="N51" s="1"/>
      <c r="O51"/>
    </row>
    <row r="52" spans="1:15" ht="15" x14ac:dyDescent="0.25">
      <c r="A52" s="36"/>
      <c r="B52" s="1"/>
      <c r="C52" s="1"/>
      <c r="D52" s="38">
        <v>492.08</v>
      </c>
      <c r="E52" s="39"/>
      <c r="F52" s="24">
        <f t="shared" si="0"/>
        <v>3420.04</v>
      </c>
      <c r="H52" s="36"/>
      <c r="I52" s="1"/>
      <c r="J52" s="1"/>
      <c r="K52" s="1"/>
      <c r="L52" s="1"/>
      <c r="M52"/>
      <c r="N52" s="1"/>
      <c r="O52"/>
    </row>
    <row r="53" spans="1:15" ht="15" x14ac:dyDescent="0.25">
      <c r="A53" s="36"/>
      <c r="B53" s="1"/>
      <c r="C53" s="1"/>
      <c r="D53" s="38">
        <v>344.99</v>
      </c>
      <c r="E53" s="39"/>
      <c r="F53" s="24">
        <f t="shared" si="0"/>
        <v>3765.0299999999997</v>
      </c>
      <c r="H53" s="36"/>
      <c r="I53" s="1"/>
      <c r="J53" s="1"/>
      <c r="K53" s="1"/>
      <c r="L53" s="1"/>
      <c r="M53"/>
      <c r="N53" s="1"/>
      <c r="O53"/>
    </row>
    <row r="54" spans="1:15" ht="15" x14ac:dyDescent="0.25">
      <c r="A54" s="36"/>
      <c r="B54" s="1"/>
      <c r="C54" s="1"/>
      <c r="D54" s="39">
        <v>172.43</v>
      </c>
      <c r="E54" s="38"/>
      <c r="F54" s="24">
        <f t="shared" si="0"/>
        <v>3937.4599999999996</v>
      </c>
      <c r="H54" s="36"/>
      <c r="I54" s="1"/>
      <c r="J54" s="1"/>
      <c r="K54" s="1"/>
      <c r="L54" s="1"/>
      <c r="M54" s="1"/>
      <c r="N54"/>
      <c r="O54"/>
    </row>
    <row r="55" spans="1:15" ht="15" x14ac:dyDescent="0.25">
      <c r="A55" s="36"/>
      <c r="B55"/>
      <c r="C55" s="1"/>
      <c r="D55" s="39">
        <v>139.34</v>
      </c>
      <c r="E55" s="38"/>
      <c r="F55" s="24">
        <f t="shared" si="0"/>
        <v>4076.7999999999997</v>
      </c>
      <c r="H55" s="36"/>
      <c r="I55" s="1"/>
      <c r="J55" s="1"/>
      <c r="K55" s="1"/>
      <c r="L55" s="1"/>
      <c r="M55" s="1"/>
      <c r="N55"/>
      <c r="O55"/>
    </row>
    <row r="56" spans="1:15" ht="15" x14ac:dyDescent="0.25">
      <c r="A56" s="36"/>
      <c r="B56" s="1"/>
      <c r="C56" s="1"/>
      <c r="D56" s="38">
        <v>278.56</v>
      </c>
      <c r="E56" s="39"/>
      <c r="F56" s="24">
        <f t="shared" si="0"/>
        <v>4355.3599999999997</v>
      </c>
      <c r="H56" s="36"/>
      <c r="I56" s="1"/>
      <c r="J56" s="1"/>
      <c r="K56" s="1"/>
      <c r="L56" s="1"/>
      <c r="M56"/>
      <c r="N56" s="1"/>
      <c r="O56"/>
    </row>
    <row r="57" spans="1:15" ht="15" x14ac:dyDescent="0.25">
      <c r="A57" s="36"/>
      <c r="B57" s="1"/>
      <c r="C57" s="1"/>
      <c r="D57" s="38">
        <v>354.94</v>
      </c>
      <c r="E57" s="39"/>
      <c r="F57" s="24">
        <f t="shared" si="0"/>
        <v>4710.2999999999993</v>
      </c>
      <c r="H57" s="36"/>
      <c r="I57" s="1"/>
      <c r="J57" s="1"/>
      <c r="K57" s="1"/>
      <c r="L57" s="1"/>
      <c r="M57"/>
      <c r="N57" s="1"/>
      <c r="O57"/>
    </row>
    <row r="58" spans="1:15" ht="15" x14ac:dyDescent="0.25">
      <c r="A58" s="36"/>
      <c r="B58" s="1"/>
      <c r="C58" s="1"/>
      <c r="D58" s="39">
        <v>177.38</v>
      </c>
      <c r="E58" s="38"/>
      <c r="F58" s="24">
        <f t="shared" si="0"/>
        <v>4887.6799999999994</v>
      </c>
      <c r="H58" s="36"/>
      <c r="I58" s="1"/>
      <c r="J58" s="1"/>
      <c r="K58" s="1"/>
      <c r="L58" s="1"/>
      <c r="M58" s="1"/>
      <c r="N58"/>
      <c r="O58"/>
    </row>
    <row r="59" spans="1:15" ht="15" x14ac:dyDescent="0.25">
      <c r="A59" s="36"/>
      <c r="B59" s="1"/>
      <c r="C59" s="1"/>
      <c r="D59" s="38">
        <v>156.44</v>
      </c>
      <c r="E59" s="39"/>
      <c r="F59" s="24">
        <f t="shared" si="0"/>
        <v>5044.119999999999</v>
      </c>
      <c r="H59" s="36"/>
      <c r="I59" s="1"/>
      <c r="J59"/>
      <c r="K59" s="1"/>
      <c r="L59" s="1"/>
      <c r="M59" s="1"/>
      <c r="N59"/>
      <c r="O59"/>
    </row>
    <row r="60" spans="1:15" ht="15" x14ac:dyDescent="0.25">
      <c r="A60" s="36"/>
      <c r="B60" s="1"/>
      <c r="C60" s="1"/>
      <c r="D60" s="38">
        <v>312.60000000000002</v>
      </c>
      <c r="E60" s="39"/>
      <c r="F60" s="24">
        <f t="shared" si="0"/>
        <v>5356.7199999999993</v>
      </c>
      <c r="H60" s="36"/>
      <c r="I60" s="1"/>
      <c r="J60" s="1"/>
      <c r="K60" s="1"/>
      <c r="L60" s="1"/>
      <c r="M60"/>
      <c r="N60" s="1"/>
      <c r="O60"/>
    </row>
    <row r="61" spans="1:15" ht="15" x14ac:dyDescent="0.25">
      <c r="A61" s="36"/>
      <c r="B61" s="1"/>
      <c r="C61" s="1"/>
      <c r="D61" s="38">
        <v>325.54000000000002</v>
      </c>
      <c r="E61" s="39"/>
      <c r="F61" s="24">
        <f t="shared" si="0"/>
        <v>5682.2599999999993</v>
      </c>
      <c r="H61" s="36"/>
      <c r="I61" s="1"/>
      <c r="J61" s="1"/>
      <c r="K61" s="1"/>
      <c r="L61" s="1"/>
      <c r="M61"/>
      <c r="N61" s="1"/>
      <c r="O61"/>
    </row>
    <row r="62" spans="1:15" ht="15" x14ac:dyDescent="0.25">
      <c r="A62" s="36"/>
      <c r="B62" s="1"/>
      <c r="C62" s="1"/>
      <c r="D62" s="38">
        <v>162.79</v>
      </c>
      <c r="E62" s="39"/>
      <c r="F62" s="24">
        <f t="shared" si="0"/>
        <v>5845.0499999999993</v>
      </c>
      <c r="H62" s="36"/>
      <c r="I62" s="1"/>
      <c r="J62" s="1"/>
      <c r="K62" s="1"/>
      <c r="L62" s="1"/>
      <c r="M62" s="1"/>
      <c r="N62"/>
      <c r="O62"/>
    </row>
    <row r="63" spans="1:15" ht="15" x14ac:dyDescent="0.25">
      <c r="A63" s="36"/>
      <c r="B63" s="1"/>
      <c r="C63" s="1"/>
      <c r="D63" s="38">
        <v>223.44</v>
      </c>
      <c r="E63" s="39"/>
      <c r="F63" s="24">
        <f t="shared" si="0"/>
        <v>6068.4899999999989</v>
      </c>
      <c r="G63" s="24"/>
      <c r="H63" s="36"/>
      <c r="I63" s="1"/>
      <c r="J63" s="1"/>
      <c r="K63" s="1"/>
      <c r="L63" s="1"/>
      <c r="M63"/>
      <c r="N63" s="1"/>
      <c r="O63"/>
    </row>
    <row r="64" spans="1:15" ht="15" x14ac:dyDescent="0.25">
      <c r="A64" s="36"/>
      <c r="B64" s="1"/>
      <c r="C64" s="1"/>
      <c r="D64" s="39">
        <v>446.65</v>
      </c>
      <c r="E64" s="38"/>
      <c r="F64" s="24">
        <f t="shared" si="0"/>
        <v>6515.1399999999985</v>
      </c>
      <c r="H64" s="36"/>
      <c r="I64" s="1"/>
      <c r="J64" s="1"/>
      <c r="K64" s="1"/>
      <c r="L64" s="1"/>
      <c r="M64"/>
      <c r="N64" s="1"/>
      <c r="O64"/>
    </row>
    <row r="65" spans="1:15" ht="15" x14ac:dyDescent="0.25">
      <c r="A65" s="36"/>
      <c r="B65" s="1"/>
      <c r="C65" s="1"/>
      <c r="D65" s="39">
        <v>400.78</v>
      </c>
      <c r="E65" s="38"/>
      <c r="F65" s="24">
        <f t="shared" si="0"/>
        <v>6915.9199999999983</v>
      </c>
      <c r="H65" s="36"/>
      <c r="I65" s="1"/>
      <c r="J65" s="1"/>
      <c r="K65" s="1"/>
      <c r="L65" s="1"/>
      <c r="M65"/>
      <c r="N65" s="1"/>
      <c r="O65"/>
    </row>
    <row r="66" spans="1:15" ht="15" x14ac:dyDescent="0.25">
      <c r="A66" s="36"/>
      <c r="B66" s="1"/>
      <c r="C66" s="1"/>
      <c r="D66" s="38">
        <v>200.42</v>
      </c>
      <c r="E66" s="39"/>
      <c r="F66" s="24">
        <f t="shared" si="0"/>
        <v>7116.3399999999983</v>
      </c>
      <c r="G66" s="24"/>
      <c r="H66" s="36"/>
      <c r="I66" s="1"/>
      <c r="J66" s="1"/>
      <c r="K66" s="1"/>
      <c r="L66" s="1"/>
      <c r="M66"/>
      <c r="N66" s="1"/>
      <c r="O66"/>
    </row>
    <row r="67" spans="1:15" ht="15" x14ac:dyDescent="0.25">
      <c r="A67" s="36"/>
      <c r="B67" s="1"/>
      <c r="C67" s="1"/>
      <c r="D67" s="38">
        <v>151.35</v>
      </c>
      <c r="E67" s="39"/>
      <c r="F67" s="24">
        <f t="shared" si="0"/>
        <v>7267.6899999999987</v>
      </c>
      <c r="G67" s="24"/>
      <c r="H67" s="36"/>
      <c r="I67" s="1"/>
      <c r="J67" s="1"/>
      <c r="K67" s="1"/>
      <c r="L67" s="1"/>
      <c r="M67"/>
      <c r="N67" s="1"/>
      <c r="O67"/>
    </row>
    <row r="68" spans="1:15" ht="15" x14ac:dyDescent="0.25">
      <c r="A68" s="36"/>
      <c r="B68" s="1"/>
      <c r="C68" s="1"/>
      <c r="D68" s="38">
        <v>302.66000000000003</v>
      </c>
      <c r="E68" s="39"/>
      <c r="F68" s="24">
        <f t="shared" si="0"/>
        <v>7570.3499999999985</v>
      </c>
      <c r="G68" s="24"/>
      <c r="H68" s="36"/>
      <c r="I68" s="1"/>
      <c r="J68" s="1"/>
      <c r="K68" s="1"/>
      <c r="L68" s="1"/>
      <c r="M68" s="1"/>
      <c r="N68"/>
      <c r="O68"/>
    </row>
    <row r="69" spans="1:15" ht="15" x14ac:dyDescent="0.25">
      <c r="A69" s="36"/>
      <c r="B69" s="1"/>
      <c r="C69" s="1"/>
      <c r="D69" s="39">
        <v>278.56</v>
      </c>
      <c r="E69" s="38"/>
      <c r="F69" s="24">
        <f t="shared" si="0"/>
        <v>7848.9099999999989</v>
      </c>
      <c r="G69" s="24"/>
      <c r="H69" s="36"/>
      <c r="I69" s="1"/>
      <c r="J69" s="1"/>
      <c r="K69" s="1"/>
      <c r="L69" s="1"/>
      <c r="M69" s="1"/>
      <c r="N69"/>
      <c r="O69"/>
    </row>
    <row r="70" spans="1:15" ht="15" x14ac:dyDescent="0.25">
      <c r="A70" s="36"/>
      <c r="B70" s="1"/>
      <c r="C70" s="1"/>
      <c r="D70" s="38">
        <v>354.94</v>
      </c>
      <c r="E70" s="39"/>
      <c r="F70" s="24">
        <f t="shared" si="0"/>
        <v>8203.8499999999985</v>
      </c>
      <c r="G70" s="24"/>
      <c r="H70" s="36"/>
      <c r="I70" s="1"/>
      <c r="J70" s="1"/>
      <c r="K70" s="1"/>
      <c r="L70" s="1"/>
      <c r="M70"/>
      <c r="N70" s="1"/>
      <c r="O70"/>
    </row>
    <row r="71" spans="1:15" ht="15" x14ac:dyDescent="0.25">
      <c r="A71" s="36"/>
      <c r="B71" s="1"/>
      <c r="C71" s="1"/>
      <c r="D71" s="38">
        <v>177.38</v>
      </c>
      <c r="E71" s="39"/>
      <c r="F71" s="24">
        <f t="shared" ref="F71:F121" si="1">SUM(F70+D71-E71)</f>
        <v>8381.2299999999977</v>
      </c>
      <c r="G71" s="24"/>
      <c r="H71" s="36"/>
      <c r="I71" s="1"/>
      <c r="J71" s="1"/>
      <c r="K71" s="1"/>
      <c r="L71" s="1"/>
      <c r="M71"/>
      <c r="N71" s="1"/>
      <c r="O71"/>
    </row>
    <row r="72" spans="1:15" ht="15" x14ac:dyDescent="0.25">
      <c r="A72" s="36"/>
      <c r="B72" s="1"/>
      <c r="C72" s="1"/>
      <c r="D72" s="38">
        <v>156.44</v>
      </c>
      <c r="E72" s="39"/>
      <c r="F72" s="24">
        <f t="shared" si="1"/>
        <v>8537.6699999999983</v>
      </c>
      <c r="G72" s="24"/>
      <c r="H72" s="36"/>
      <c r="I72" s="1"/>
      <c r="J72" s="1"/>
      <c r="K72" s="1"/>
      <c r="L72" s="1"/>
      <c r="M72"/>
      <c r="N72" s="1"/>
      <c r="O72"/>
    </row>
    <row r="73" spans="1:15" ht="15" x14ac:dyDescent="0.25">
      <c r="A73" s="34"/>
      <c r="B73" s="25"/>
      <c r="D73" s="24">
        <v>312.60000000000002</v>
      </c>
      <c r="F73" s="24">
        <f t="shared" si="1"/>
        <v>8850.2699999999986</v>
      </c>
      <c r="H73" s="36"/>
      <c r="I73" s="1"/>
      <c r="J73" s="1"/>
      <c r="K73" s="1"/>
      <c r="L73" s="1"/>
      <c r="M73" s="1"/>
      <c r="N73"/>
      <c r="O73"/>
    </row>
    <row r="74" spans="1:15" ht="15" x14ac:dyDescent="0.25">
      <c r="A74" s="34"/>
      <c r="B74" s="25"/>
      <c r="D74" s="24">
        <v>325.54000000000002</v>
      </c>
      <c r="F74" s="24">
        <f t="shared" si="1"/>
        <v>9175.81</v>
      </c>
      <c r="H74" s="36"/>
      <c r="I74" s="1"/>
      <c r="J74" s="1"/>
      <c r="K74" s="1"/>
      <c r="L74" s="1"/>
      <c r="M74"/>
      <c r="N74" s="1"/>
      <c r="O74"/>
    </row>
    <row r="75" spans="1:15" ht="15" x14ac:dyDescent="0.25">
      <c r="A75" s="34"/>
      <c r="B75" s="25"/>
      <c r="D75" s="24">
        <v>162.79</v>
      </c>
      <c r="F75" s="24">
        <f t="shared" si="1"/>
        <v>9338.6</v>
      </c>
      <c r="H75" s="36"/>
      <c r="I75" s="1"/>
      <c r="J75" s="1"/>
      <c r="K75" s="1"/>
      <c r="L75" s="1"/>
      <c r="M75"/>
      <c r="N75" s="1"/>
      <c r="O75"/>
    </row>
    <row r="76" spans="1:15" ht="15" x14ac:dyDescent="0.25">
      <c r="A76" s="34"/>
      <c r="B76" s="25"/>
      <c r="D76" s="24">
        <v>223.44</v>
      </c>
      <c r="F76" s="24">
        <f t="shared" si="1"/>
        <v>9562.0400000000009</v>
      </c>
      <c r="G76" s="24"/>
      <c r="H76" s="36"/>
      <c r="I76" s="1"/>
      <c r="J76" s="1"/>
      <c r="K76" s="1"/>
      <c r="L76" s="1"/>
      <c r="M76"/>
      <c r="N76" s="1"/>
      <c r="O76"/>
    </row>
    <row r="77" spans="1:15" x14ac:dyDescent="0.2">
      <c r="A77" s="34"/>
      <c r="B77" s="25"/>
      <c r="D77" s="24">
        <v>446.65</v>
      </c>
      <c r="F77" s="24">
        <f t="shared" si="1"/>
        <v>10008.69</v>
      </c>
      <c r="G77" s="24"/>
    </row>
    <row r="78" spans="1:15" x14ac:dyDescent="0.2">
      <c r="A78" s="34"/>
      <c r="B78" s="25"/>
      <c r="D78" s="24">
        <v>400.78</v>
      </c>
      <c r="F78" s="24">
        <f t="shared" si="1"/>
        <v>10409.470000000001</v>
      </c>
      <c r="G78" s="24"/>
    </row>
    <row r="79" spans="1:15" x14ac:dyDescent="0.2">
      <c r="A79" s="34"/>
      <c r="B79" s="25"/>
      <c r="D79" s="24">
        <v>200.42</v>
      </c>
      <c r="F79" s="24">
        <f t="shared" si="1"/>
        <v>10609.890000000001</v>
      </c>
    </row>
    <row r="80" spans="1:15" x14ac:dyDescent="0.2">
      <c r="A80" s="34"/>
      <c r="B80" s="25"/>
      <c r="D80" s="24">
        <v>151.35</v>
      </c>
      <c r="F80" s="24">
        <f t="shared" si="1"/>
        <v>10761.240000000002</v>
      </c>
    </row>
    <row r="81" spans="1:15" x14ac:dyDescent="0.2">
      <c r="A81" s="34"/>
      <c r="B81" s="25"/>
      <c r="D81" s="24">
        <v>302.66000000000003</v>
      </c>
      <c r="F81" s="24">
        <f t="shared" si="1"/>
        <v>11063.900000000001</v>
      </c>
    </row>
    <row r="82" spans="1:15" x14ac:dyDescent="0.2">
      <c r="D82" s="24">
        <v>331.83</v>
      </c>
      <c r="F82" s="24">
        <f t="shared" si="1"/>
        <v>11395.730000000001</v>
      </c>
    </row>
    <row r="83" spans="1:15" x14ac:dyDescent="0.2">
      <c r="D83" s="24">
        <v>165.89</v>
      </c>
      <c r="F83" s="24">
        <f t="shared" si="1"/>
        <v>11561.62</v>
      </c>
    </row>
    <row r="84" spans="1:15" x14ac:dyDescent="0.2">
      <c r="D84" s="24">
        <v>210.71</v>
      </c>
      <c r="F84" s="24">
        <f t="shared" si="1"/>
        <v>11772.33</v>
      </c>
    </row>
    <row r="85" spans="1:15" x14ac:dyDescent="0.2">
      <c r="D85" s="24">
        <v>421.37</v>
      </c>
      <c r="F85" s="24">
        <f t="shared" si="1"/>
        <v>12193.7</v>
      </c>
    </row>
    <row r="86" spans="1:15" ht="15" x14ac:dyDescent="0.25">
      <c r="D86" s="24">
        <v>32.380000000000003</v>
      </c>
      <c r="F86" s="24">
        <f t="shared" si="1"/>
        <v>12226.08</v>
      </c>
      <c r="H86" s="36"/>
      <c r="I86" s="1"/>
      <c r="J86" s="1"/>
      <c r="K86" s="1"/>
      <c r="L86" s="1"/>
      <c r="M86"/>
      <c r="N86" s="1"/>
      <c r="O86"/>
    </row>
    <row r="87" spans="1:15" ht="15" x14ac:dyDescent="0.25">
      <c r="D87" s="24">
        <v>23.54</v>
      </c>
      <c r="F87" s="24">
        <f t="shared" si="1"/>
        <v>12249.62</v>
      </c>
      <c r="H87" s="36"/>
      <c r="I87" s="1"/>
      <c r="J87" s="1"/>
      <c r="K87" s="1"/>
      <c r="L87" s="1"/>
      <c r="M87"/>
      <c r="N87" s="1"/>
      <c r="O87"/>
    </row>
    <row r="88" spans="1:15" ht="15" x14ac:dyDescent="0.25">
      <c r="D88" s="24">
        <v>22.12</v>
      </c>
      <c r="F88" s="24">
        <f t="shared" si="1"/>
        <v>12271.740000000002</v>
      </c>
      <c r="H88" s="36"/>
      <c r="I88" s="1"/>
      <c r="J88" s="1"/>
      <c r="K88" s="1"/>
      <c r="L88" s="1"/>
      <c r="M88"/>
      <c r="N88" s="1"/>
      <c r="O88"/>
    </row>
    <row r="89" spans="1:15" x14ac:dyDescent="0.2">
      <c r="F89" s="24">
        <f t="shared" si="1"/>
        <v>12271.740000000002</v>
      </c>
    </row>
    <row r="90" spans="1:15" x14ac:dyDescent="0.2">
      <c r="F90" s="24">
        <f t="shared" si="1"/>
        <v>12271.740000000002</v>
      </c>
    </row>
    <row r="91" spans="1:15" x14ac:dyDescent="0.2">
      <c r="F91" s="24">
        <f t="shared" si="1"/>
        <v>12271.740000000002</v>
      </c>
    </row>
    <row r="92" spans="1:15" x14ac:dyDescent="0.2">
      <c r="F92" s="24">
        <f t="shared" si="1"/>
        <v>12271.740000000002</v>
      </c>
    </row>
    <row r="93" spans="1:15" x14ac:dyDescent="0.2">
      <c r="F93" s="24">
        <f t="shared" si="1"/>
        <v>12271.740000000002</v>
      </c>
    </row>
    <row r="94" spans="1:15" x14ac:dyDescent="0.2">
      <c r="F94" s="24">
        <f t="shared" si="1"/>
        <v>12271.740000000002</v>
      </c>
    </row>
    <row r="95" spans="1:15" x14ac:dyDescent="0.2">
      <c r="F95" s="24">
        <f t="shared" si="1"/>
        <v>12271.740000000002</v>
      </c>
    </row>
    <row r="96" spans="1:15" x14ac:dyDescent="0.2">
      <c r="F96" s="24">
        <f t="shared" si="1"/>
        <v>12271.740000000002</v>
      </c>
    </row>
    <row r="97" spans="6:6" x14ac:dyDescent="0.2">
      <c r="F97" s="24">
        <f t="shared" si="1"/>
        <v>12271.740000000002</v>
      </c>
    </row>
    <row r="98" spans="6:6" x14ac:dyDescent="0.2">
      <c r="F98" s="24">
        <f t="shared" si="1"/>
        <v>12271.740000000002</v>
      </c>
    </row>
    <row r="99" spans="6:6" x14ac:dyDescent="0.2">
      <c r="F99" s="24">
        <f t="shared" si="1"/>
        <v>12271.740000000002</v>
      </c>
    </row>
    <row r="100" spans="6:6" x14ac:dyDescent="0.2">
      <c r="F100" s="24">
        <f t="shared" si="1"/>
        <v>12271.740000000002</v>
      </c>
    </row>
    <row r="101" spans="6:6" x14ac:dyDescent="0.2">
      <c r="F101" s="24">
        <f t="shared" si="1"/>
        <v>12271.740000000002</v>
      </c>
    </row>
    <row r="102" spans="6:6" x14ac:dyDescent="0.2">
      <c r="F102" s="24">
        <f t="shared" si="1"/>
        <v>12271.740000000002</v>
      </c>
    </row>
    <row r="103" spans="6:6" x14ac:dyDescent="0.2">
      <c r="F103" s="24">
        <f t="shared" si="1"/>
        <v>12271.740000000002</v>
      </c>
    </row>
    <row r="104" spans="6:6" x14ac:dyDescent="0.2">
      <c r="F104" s="24">
        <f t="shared" si="1"/>
        <v>12271.740000000002</v>
      </c>
    </row>
    <row r="105" spans="6:6" x14ac:dyDescent="0.2">
      <c r="F105" s="24">
        <f t="shared" si="1"/>
        <v>12271.740000000002</v>
      </c>
    </row>
    <row r="106" spans="6:6" x14ac:dyDescent="0.2">
      <c r="F106" s="24">
        <f t="shared" si="1"/>
        <v>12271.740000000002</v>
      </c>
    </row>
    <row r="107" spans="6:6" x14ac:dyDescent="0.2">
      <c r="F107" s="24">
        <f t="shared" si="1"/>
        <v>12271.740000000002</v>
      </c>
    </row>
    <row r="108" spans="6:6" x14ac:dyDescent="0.2">
      <c r="F108" s="24">
        <f t="shared" si="1"/>
        <v>12271.740000000002</v>
      </c>
    </row>
    <row r="109" spans="6:6" x14ac:dyDescent="0.2">
      <c r="F109" s="24">
        <f t="shared" si="1"/>
        <v>12271.740000000002</v>
      </c>
    </row>
    <row r="110" spans="6:6" x14ac:dyDescent="0.2">
      <c r="F110" s="24">
        <f t="shared" si="1"/>
        <v>12271.740000000002</v>
      </c>
    </row>
    <row r="111" spans="6:6" x14ac:dyDescent="0.2">
      <c r="F111" s="24">
        <f t="shared" si="1"/>
        <v>12271.740000000002</v>
      </c>
    </row>
    <row r="112" spans="6:6" x14ac:dyDescent="0.2">
      <c r="F112" s="24">
        <f t="shared" si="1"/>
        <v>12271.740000000002</v>
      </c>
    </row>
    <row r="113" spans="6:6" x14ac:dyDescent="0.2">
      <c r="F113" s="24">
        <f t="shared" si="1"/>
        <v>12271.740000000002</v>
      </c>
    </row>
    <row r="114" spans="6:6" x14ac:dyDescent="0.2">
      <c r="F114" s="24">
        <f t="shared" si="1"/>
        <v>12271.740000000002</v>
      </c>
    </row>
    <row r="115" spans="6:6" x14ac:dyDescent="0.2">
      <c r="F115" s="24">
        <f t="shared" si="1"/>
        <v>12271.740000000002</v>
      </c>
    </row>
    <row r="116" spans="6:6" x14ac:dyDescent="0.2">
      <c r="F116" s="24">
        <f t="shared" si="1"/>
        <v>12271.740000000002</v>
      </c>
    </row>
    <row r="117" spans="6:6" x14ac:dyDescent="0.2">
      <c r="F117" s="24">
        <f t="shared" si="1"/>
        <v>12271.740000000002</v>
      </c>
    </row>
    <row r="118" spans="6:6" x14ac:dyDescent="0.2">
      <c r="F118" s="24">
        <f t="shared" si="1"/>
        <v>12271.740000000002</v>
      </c>
    </row>
    <row r="119" spans="6:6" x14ac:dyDescent="0.2">
      <c r="F119" s="24">
        <f t="shared" si="1"/>
        <v>12271.740000000002</v>
      </c>
    </row>
    <row r="120" spans="6:6" x14ac:dyDescent="0.2">
      <c r="F120" s="24">
        <f t="shared" si="1"/>
        <v>12271.740000000002</v>
      </c>
    </row>
    <row r="121" spans="6:6" x14ac:dyDescent="0.2">
      <c r="F121" s="24">
        <f t="shared" si="1"/>
        <v>12271.740000000002</v>
      </c>
    </row>
  </sheetData>
  <printOptions gridLines="1"/>
  <pageMargins left="0.35433070866141736" right="0.35433070866141736" top="0.98425196850393704" bottom="0.98425196850393704" header="0.51181102362204722" footer="0.51181102362204722"/>
  <pageSetup paperSize="9" orientation="portrait" horizontalDpi="300" verticalDpi="300" r:id="rId1"/>
  <headerFooter alignWithMargins="0">
    <oddHeader>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3:F55"/>
  <sheetViews>
    <sheetView tabSelected="1" zoomScaleNormal="100" zoomScaleSheetLayoutView="100" workbookViewId="0">
      <selection activeCell="C53" sqref="C53"/>
    </sheetView>
  </sheetViews>
  <sheetFormatPr defaultRowHeight="15" x14ac:dyDescent="0.25"/>
  <cols>
    <col min="1" max="1" width="10.28515625" customWidth="1"/>
    <col min="2" max="2" width="23.85546875" customWidth="1"/>
    <col min="3" max="3" width="30.140625" customWidth="1"/>
    <col min="4" max="4" width="11.85546875" bestFit="1" customWidth="1"/>
    <col min="5" max="5" width="5" style="20" bestFit="1" customWidth="1"/>
    <col min="6" max="6" width="15.85546875" style="20" customWidth="1"/>
  </cols>
  <sheetData>
    <row r="3" spans="1:6" ht="18.75" x14ac:dyDescent="0.3">
      <c r="C3" s="41" t="s">
        <v>221</v>
      </c>
    </row>
    <row r="4" spans="1:6" ht="18.75" x14ac:dyDescent="0.3">
      <c r="C4" s="41" t="s">
        <v>222</v>
      </c>
    </row>
    <row r="6" spans="1:6" x14ac:dyDescent="0.25">
      <c r="F6" s="55"/>
    </row>
    <row r="7" spans="1:6" ht="15.75" thickBot="1" x14ac:dyDescent="0.3">
      <c r="C7" s="14" t="s">
        <v>325</v>
      </c>
    </row>
    <row r="8" spans="1:6" s="57" customFormat="1" ht="51.75" thickBot="1" x14ac:dyDescent="0.3">
      <c r="A8" s="56" t="s">
        <v>223</v>
      </c>
      <c r="B8" s="56" t="s">
        <v>224</v>
      </c>
      <c r="C8" s="56" t="s">
        <v>225</v>
      </c>
      <c r="D8" s="56" t="s">
        <v>226</v>
      </c>
      <c r="E8" s="56" t="s">
        <v>227</v>
      </c>
      <c r="F8" s="56" t="s">
        <v>274</v>
      </c>
    </row>
    <row r="9" spans="1:6" ht="15.75" thickBot="1" x14ac:dyDescent="0.3"/>
    <row r="10" spans="1:6" s="58" customFormat="1" ht="18" customHeight="1" x14ac:dyDescent="0.2">
      <c r="A10" s="71">
        <v>634678</v>
      </c>
      <c r="B10" s="72" t="s">
        <v>195</v>
      </c>
      <c r="C10" s="107" t="s">
        <v>299</v>
      </c>
      <c r="D10" s="99"/>
      <c r="E10" s="114" t="s">
        <v>229</v>
      </c>
      <c r="F10" s="72" t="s">
        <v>195</v>
      </c>
    </row>
    <row r="11" spans="1:6" s="58" customFormat="1" ht="18" customHeight="1" thickBot="1" x14ac:dyDescent="0.25">
      <c r="A11" s="110" t="s">
        <v>194</v>
      </c>
      <c r="B11" s="60" t="s">
        <v>300</v>
      </c>
      <c r="C11" s="108" t="s">
        <v>347</v>
      </c>
      <c r="D11" s="87"/>
      <c r="E11" s="110"/>
      <c r="F11" s="125">
        <v>41030</v>
      </c>
    </row>
    <row r="12" spans="1:6" s="58" customFormat="1" ht="18" customHeight="1" thickBot="1" x14ac:dyDescent="0.25">
      <c r="A12" s="111"/>
      <c r="B12" s="73" t="s">
        <v>259</v>
      </c>
      <c r="C12" s="59" t="s">
        <v>228</v>
      </c>
      <c r="D12" s="99" t="s">
        <v>261</v>
      </c>
      <c r="E12" s="110"/>
      <c r="F12" s="126"/>
    </row>
    <row r="13" spans="1:6" s="58" customFormat="1" ht="18" customHeight="1" x14ac:dyDescent="0.2">
      <c r="A13" s="71">
        <v>695953</v>
      </c>
      <c r="B13" s="71" t="s">
        <v>312</v>
      </c>
      <c r="C13" s="91" t="s">
        <v>314</v>
      </c>
      <c r="D13" s="87"/>
      <c r="E13" s="71"/>
      <c r="F13" s="88" t="s">
        <v>309</v>
      </c>
    </row>
    <row r="14" spans="1:6" s="58" customFormat="1" ht="18" customHeight="1" x14ac:dyDescent="0.2">
      <c r="A14" s="110" t="s">
        <v>308</v>
      </c>
      <c r="B14" s="89"/>
      <c r="C14" s="92" t="s">
        <v>315</v>
      </c>
      <c r="D14" s="87" t="s">
        <v>310</v>
      </c>
      <c r="E14" s="74"/>
      <c r="F14" s="125">
        <v>44105</v>
      </c>
    </row>
    <row r="15" spans="1:6" s="58" customFormat="1" ht="18" customHeight="1" thickBot="1" x14ac:dyDescent="0.25">
      <c r="A15" s="111"/>
      <c r="B15" s="90" t="s">
        <v>267</v>
      </c>
      <c r="C15" s="98" t="s">
        <v>313</v>
      </c>
      <c r="D15" s="87" t="s">
        <v>311</v>
      </c>
      <c r="E15" s="76"/>
      <c r="F15" s="126"/>
    </row>
    <row r="16" spans="1:6" s="58" customFormat="1" ht="18" customHeight="1" x14ac:dyDescent="0.2">
      <c r="A16" s="71">
        <v>589996</v>
      </c>
      <c r="B16" s="72" t="s">
        <v>301</v>
      </c>
      <c r="C16" s="112" t="s">
        <v>263</v>
      </c>
      <c r="D16" s="77"/>
      <c r="E16" s="114" t="s">
        <v>231</v>
      </c>
      <c r="F16" s="72" t="s">
        <v>232</v>
      </c>
    </row>
    <row r="17" spans="1:6" s="58" customFormat="1" ht="18" customHeight="1" thickBot="1" x14ac:dyDescent="0.25">
      <c r="A17" s="110" t="s">
        <v>184</v>
      </c>
      <c r="B17" s="60" t="s">
        <v>304</v>
      </c>
      <c r="C17" s="113"/>
      <c r="D17" s="78" t="s">
        <v>277</v>
      </c>
      <c r="E17" s="110"/>
      <c r="F17" s="121">
        <v>39953</v>
      </c>
    </row>
    <row r="18" spans="1:6" s="58" customFormat="1" ht="18" customHeight="1" thickBot="1" x14ac:dyDescent="0.25">
      <c r="A18" s="111"/>
      <c r="B18" s="75" t="s">
        <v>262</v>
      </c>
      <c r="C18" s="62" t="s">
        <v>230</v>
      </c>
      <c r="D18" s="77" t="s">
        <v>264</v>
      </c>
      <c r="E18" s="111"/>
      <c r="F18" s="122"/>
    </row>
    <row r="19" spans="1:6" s="58" customFormat="1" ht="18" hidden="1" customHeight="1" x14ac:dyDescent="0.2">
      <c r="A19" s="71">
        <v>678985</v>
      </c>
      <c r="B19" s="72" t="s">
        <v>275</v>
      </c>
      <c r="C19" s="80" t="s">
        <v>265</v>
      </c>
      <c r="D19" s="77" t="s">
        <v>266</v>
      </c>
      <c r="E19" s="71"/>
      <c r="F19" s="72" t="s">
        <v>236</v>
      </c>
    </row>
    <row r="20" spans="1:6" s="58" customFormat="1" ht="13.5" hidden="1" thickBot="1" x14ac:dyDescent="0.25">
      <c r="A20" s="74" t="s">
        <v>233</v>
      </c>
      <c r="B20" s="73" t="s">
        <v>267</v>
      </c>
      <c r="C20" s="81" t="s">
        <v>234</v>
      </c>
      <c r="D20" s="60"/>
      <c r="E20" s="74"/>
      <c r="F20" s="82">
        <v>43032</v>
      </c>
    </row>
    <row r="21" spans="1:6" s="58" customFormat="1" ht="18" hidden="1" customHeight="1" thickBot="1" x14ac:dyDescent="0.25">
      <c r="A21" s="76"/>
      <c r="B21" s="75"/>
      <c r="C21" s="61" t="s">
        <v>235</v>
      </c>
      <c r="D21" s="79"/>
      <c r="E21" s="76"/>
      <c r="F21" s="79"/>
    </row>
    <row r="22" spans="1:6" s="58" customFormat="1" ht="18" customHeight="1" x14ac:dyDescent="0.2">
      <c r="A22" s="74">
        <v>696544</v>
      </c>
      <c r="B22" s="60" t="s">
        <v>319</v>
      </c>
      <c r="C22" s="127" t="s">
        <v>323</v>
      </c>
      <c r="D22" s="71" t="s">
        <v>324</v>
      </c>
      <c r="E22" s="114" t="s">
        <v>317</v>
      </c>
      <c r="F22" s="60" t="s">
        <v>318</v>
      </c>
    </row>
    <row r="23" spans="1:6" s="58" customFormat="1" ht="18" customHeight="1" x14ac:dyDescent="0.2">
      <c r="A23" s="74"/>
      <c r="B23" s="60" t="s">
        <v>321</v>
      </c>
      <c r="C23" s="128"/>
      <c r="D23" s="74"/>
      <c r="E23" s="110"/>
      <c r="F23" s="125">
        <v>44144</v>
      </c>
    </row>
    <row r="24" spans="1:6" s="58" customFormat="1" ht="18" customHeight="1" thickBot="1" x14ac:dyDescent="0.25">
      <c r="A24" s="110" t="s">
        <v>316</v>
      </c>
      <c r="B24" s="60" t="s">
        <v>320</v>
      </c>
      <c r="C24" s="66"/>
      <c r="D24" s="74"/>
      <c r="E24" s="110"/>
      <c r="F24" s="125"/>
    </row>
    <row r="25" spans="1:6" s="58" customFormat="1" ht="18" customHeight="1" thickBot="1" x14ac:dyDescent="0.25">
      <c r="A25" s="111"/>
      <c r="B25" s="73" t="s">
        <v>260</v>
      </c>
      <c r="C25" s="66" t="s">
        <v>322</v>
      </c>
      <c r="D25" s="71" t="s">
        <v>324</v>
      </c>
      <c r="E25" s="111"/>
      <c r="F25" s="126"/>
    </row>
    <row r="26" spans="1:6" s="58" customFormat="1" ht="18" customHeight="1" x14ac:dyDescent="0.2">
      <c r="A26" s="71">
        <v>562424</v>
      </c>
      <c r="B26" s="72" t="s">
        <v>238</v>
      </c>
      <c r="C26" s="80" t="s">
        <v>268</v>
      </c>
      <c r="D26" s="72" t="s">
        <v>278</v>
      </c>
      <c r="E26" s="114" t="s">
        <v>241</v>
      </c>
      <c r="F26" s="72" t="s">
        <v>242</v>
      </c>
    </row>
    <row r="27" spans="1:6" s="58" customFormat="1" ht="18" customHeight="1" x14ac:dyDescent="0.2">
      <c r="A27" s="110" t="s">
        <v>237</v>
      </c>
      <c r="B27" s="60" t="s">
        <v>306</v>
      </c>
      <c r="C27" s="81" t="s">
        <v>269</v>
      </c>
      <c r="D27" s="78"/>
      <c r="E27" s="110"/>
      <c r="F27" s="121">
        <v>38210</v>
      </c>
    </row>
    <row r="28" spans="1:6" s="58" customFormat="1" ht="18" customHeight="1" x14ac:dyDescent="0.2">
      <c r="A28" s="110"/>
      <c r="B28" s="86" t="s">
        <v>305</v>
      </c>
      <c r="C28" s="83" t="s">
        <v>239</v>
      </c>
      <c r="D28" s="78" t="s">
        <v>270</v>
      </c>
      <c r="E28" s="110"/>
      <c r="F28" s="121"/>
    </row>
    <row r="29" spans="1:6" s="58" customFormat="1" ht="18" customHeight="1" thickBot="1" x14ac:dyDescent="0.25">
      <c r="A29" s="63"/>
      <c r="B29" s="64"/>
      <c r="C29" s="61" t="s">
        <v>240</v>
      </c>
      <c r="D29" s="60" t="s">
        <v>298</v>
      </c>
      <c r="E29" s="111"/>
      <c r="F29" s="64"/>
    </row>
    <row r="30" spans="1:6" s="58" customFormat="1" ht="18" customHeight="1" x14ac:dyDescent="0.2">
      <c r="A30" s="74">
        <v>703180</v>
      </c>
      <c r="B30" s="71" t="s">
        <v>328</v>
      </c>
      <c r="C30" s="93" t="s">
        <v>360</v>
      </c>
      <c r="D30" s="71"/>
      <c r="E30" s="114" t="s">
        <v>330</v>
      </c>
      <c r="F30" s="71" t="s">
        <v>328</v>
      </c>
    </row>
    <row r="31" spans="1:6" s="58" customFormat="1" ht="18" customHeight="1" thickBot="1" x14ac:dyDescent="0.25">
      <c r="A31" s="110" t="s">
        <v>296</v>
      </c>
      <c r="B31" s="74" t="s">
        <v>329</v>
      </c>
      <c r="C31" s="65" t="s">
        <v>361</v>
      </c>
      <c r="D31" s="74"/>
      <c r="E31" s="110"/>
      <c r="F31" s="125">
        <v>43770</v>
      </c>
    </row>
    <row r="32" spans="1:6" s="58" customFormat="1" ht="18" customHeight="1" thickBot="1" x14ac:dyDescent="0.25">
      <c r="A32" s="111"/>
      <c r="B32" s="90" t="s">
        <v>260</v>
      </c>
      <c r="C32" s="94" t="s">
        <v>331</v>
      </c>
      <c r="D32" s="71" t="s">
        <v>297</v>
      </c>
      <c r="E32" s="111"/>
      <c r="F32" s="126"/>
    </row>
    <row r="33" spans="1:6" s="58" customFormat="1" ht="18" customHeight="1" x14ac:dyDescent="0.2">
      <c r="A33" s="71">
        <v>35470</v>
      </c>
      <c r="B33" s="72" t="s">
        <v>243</v>
      </c>
      <c r="C33" s="112" t="s">
        <v>303</v>
      </c>
      <c r="D33" s="95" t="s">
        <v>349</v>
      </c>
      <c r="E33" s="114" t="s">
        <v>248</v>
      </c>
      <c r="F33" s="72" t="s">
        <v>249</v>
      </c>
    </row>
    <row r="34" spans="1:6" s="58" customFormat="1" ht="18" customHeight="1" x14ac:dyDescent="0.2">
      <c r="A34" s="110" t="s">
        <v>174</v>
      </c>
      <c r="B34" s="84" t="s">
        <v>244</v>
      </c>
      <c r="C34" s="113"/>
      <c r="D34" s="60" t="s">
        <v>327</v>
      </c>
      <c r="E34" s="110"/>
      <c r="F34" s="121">
        <v>24559</v>
      </c>
    </row>
    <row r="35" spans="1:6" s="58" customFormat="1" ht="18" customHeight="1" x14ac:dyDescent="0.2">
      <c r="A35" s="110"/>
      <c r="B35" s="84" t="s">
        <v>245</v>
      </c>
      <c r="C35" s="66" t="s">
        <v>246</v>
      </c>
      <c r="D35" s="96" t="s">
        <v>348</v>
      </c>
      <c r="E35" s="110"/>
      <c r="F35" s="121"/>
    </row>
    <row r="36" spans="1:6" s="58" customFormat="1" ht="18" customHeight="1" thickBot="1" x14ac:dyDescent="0.25">
      <c r="A36" s="63"/>
      <c r="B36" s="75" t="s">
        <v>267</v>
      </c>
      <c r="C36" s="67"/>
      <c r="D36" s="97" t="s">
        <v>247</v>
      </c>
      <c r="E36" s="111"/>
      <c r="F36" s="64"/>
    </row>
    <row r="37" spans="1:6" s="58" customFormat="1" ht="18" customHeight="1" x14ac:dyDescent="0.2">
      <c r="A37" s="71">
        <v>490806</v>
      </c>
      <c r="B37" s="72" t="s">
        <v>250</v>
      </c>
      <c r="C37" s="112" t="s">
        <v>271</v>
      </c>
      <c r="D37" s="68" t="s">
        <v>272</v>
      </c>
      <c r="E37" s="123" t="s">
        <v>253</v>
      </c>
      <c r="F37" s="72" t="s">
        <v>254</v>
      </c>
    </row>
    <row r="38" spans="1:6" s="58" customFormat="1" ht="18" customHeight="1" x14ac:dyDescent="0.2">
      <c r="A38" s="110" t="s">
        <v>187</v>
      </c>
      <c r="B38" s="60" t="s">
        <v>302</v>
      </c>
      <c r="C38" s="113"/>
      <c r="D38" s="60" t="s">
        <v>273</v>
      </c>
      <c r="E38" s="115"/>
      <c r="F38" s="121">
        <v>35886</v>
      </c>
    </row>
    <row r="39" spans="1:6" s="58" customFormat="1" ht="18" customHeight="1" thickBot="1" x14ac:dyDescent="0.25">
      <c r="A39" s="111"/>
      <c r="B39" s="75" t="s">
        <v>276</v>
      </c>
      <c r="C39" s="61" t="s">
        <v>251</v>
      </c>
      <c r="D39" s="79" t="s">
        <v>252</v>
      </c>
      <c r="E39" s="116"/>
      <c r="F39" s="122"/>
    </row>
    <row r="40" spans="1:6" s="58" customFormat="1" ht="24" customHeight="1" x14ac:dyDescent="0.2">
      <c r="A40" s="74">
        <v>710771</v>
      </c>
      <c r="B40" s="73" t="s">
        <v>332</v>
      </c>
      <c r="C40" s="119" t="s">
        <v>333</v>
      </c>
      <c r="D40" s="60"/>
      <c r="E40" s="100"/>
      <c r="F40" s="82" t="s">
        <v>337</v>
      </c>
    </row>
    <row r="41" spans="1:6" s="58" customFormat="1" ht="18" customHeight="1" x14ac:dyDescent="0.2">
      <c r="A41" s="110" t="s">
        <v>350</v>
      </c>
      <c r="B41" s="73" t="s">
        <v>335</v>
      </c>
      <c r="C41" s="120"/>
      <c r="D41" s="60"/>
      <c r="E41" s="100" t="s">
        <v>336</v>
      </c>
      <c r="F41" s="82"/>
    </row>
    <row r="42" spans="1:6" s="58" customFormat="1" ht="18" customHeight="1" thickBot="1" x14ac:dyDescent="0.25">
      <c r="A42" s="111"/>
      <c r="B42" s="75" t="s">
        <v>260</v>
      </c>
      <c r="C42" s="103" t="s">
        <v>334</v>
      </c>
      <c r="D42" s="104" t="s">
        <v>346</v>
      </c>
      <c r="E42" s="101"/>
      <c r="F42" s="105">
        <v>44888</v>
      </c>
    </row>
    <row r="43" spans="1:6" s="58" customFormat="1" ht="18" customHeight="1" x14ac:dyDescent="0.2">
      <c r="A43" s="74">
        <v>707509</v>
      </c>
      <c r="B43" s="73" t="s">
        <v>338</v>
      </c>
      <c r="C43" s="106" t="s">
        <v>340</v>
      </c>
      <c r="D43" s="78"/>
      <c r="E43" s="100"/>
      <c r="F43" s="82" t="s">
        <v>341</v>
      </c>
    </row>
    <row r="44" spans="1:6" s="58" customFormat="1" ht="18" customHeight="1" x14ac:dyDescent="0.2">
      <c r="A44" s="115" t="s">
        <v>351</v>
      </c>
      <c r="B44" s="73" t="s">
        <v>339</v>
      </c>
      <c r="C44" s="102"/>
      <c r="D44" s="78" t="s">
        <v>344</v>
      </c>
      <c r="E44" s="100" t="s">
        <v>342</v>
      </c>
      <c r="F44" s="82"/>
    </row>
    <row r="45" spans="1:6" s="58" customFormat="1" ht="18" customHeight="1" thickBot="1" x14ac:dyDescent="0.25">
      <c r="A45" s="116"/>
      <c r="B45" s="75" t="s">
        <v>260</v>
      </c>
      <c r="C45" s="103" t="s">
        <v>343</v>
      </c>
      <c r="D45" s="104" t="s">
        <v>345</v>
      </c>
      <c r="E45" s="101"/>
      <c r="F45" s="105">
        <v>44583</v>
      </c>
    </row>
    <row r="46" spans="1:6" s="58" customFormat="1" ht="18" customHeight="1" x14ac:dyDescent="0.2">
      <c r="A46" s="100">
        <v>713024</v>
      </c>
      <c r="B46" s="73" t="s">
        <v>353</v>
      </c>
      <c r="C46" s="117" t="s">
        <v>356</v>
      </c>
      <c r="D46" s="78"/>
      <c r="E46" s="100"/>
      <c r="F46" s="82"/>
    </row>
    <row r="47" spans="1:6" s="58" customFormat="1" ht="18" customHeight="1" x14ac:dyDescent="0.2">
      <c r="A47" s="100"/>
      <c r="B47" s="73" t="s">
        <v>352</v>
      </c>
      <c r="C47" s="118"/>
      <c r="D47" s="78" t="s">
        <v>357</v>
      </c>
      <c r="E47" s="100" t="s">
        <v>358</v>
      </c>
      <c r="F47" s="82"/>
    </row>
    <row r="48" spans="1:6" s="58" customFormat="1" ht="18" customHeight="1" thickBot="1" x14ac:dyDescent="0.25">
      <c r="A48" s="101" t="s">
        <v>355</v>
      </c>
      <c r="B48" s="73" t="s">
        <v>354</v>
      </c>
      <c r="C48" s="109" t="s">
        <v>359</v>
      </c>
      <c r="D48" s="78"/>
      <c r="E48" s="100"/>
      <c r="F48" s="82">
        <v>45016</v>
      </c>
    </row>
    <row r="49" spans="1:6" s="58" customFormat="1" ht="18" customHeight="1" x14ac:dyDescent="0.2">
      <c r="A49" s="71">
        <v>34276</v>
      </c>
      <c r="B49" s="72" t="s">
        <v>256</v>
      </c>
      <c r="C49" s="112" t="s">
        <v>307</v>
      </c>
      <c r="D49" s="114" t="s">
        <v>279</v>
      </c>
      <c r="E49" s="114"/>
      <c r="F49" s="69"/>
    </row>
    <row r="50" spans="1:6" s="58" customFormat="1" ht="18" customHeight="1" thickBot="1" x14ac:dyDescent="0.25">
      <c r="A50" s="76" t="s">
        <v>255</v>
      </c>
      <c r="B50" s="85" t="s">
        <v>257</v>
      </c>
      <c r="C50" s="124"/>
      <c r="D50" s="111"/>
      <c r="E50" s="111"/>
      <c r="F50" s="70"/>
    </row>
    <row r="51" spans="1:6" x14ac:dyDescent="0.25">
      <c r="A51" s="47"/>
    </row>
    <row r="52" spans="1:6" x14ac:dyDescent="0.25">
      <c r="A52" s="48"/>
      <c r="C52" s="47" t="s">
        <v>362</v>
      </c>
    </row>
    <row r="53" spans="1:6" x14ac:dyDescent="0.25">
      <c r="A53" s="49"/>
      <c r="C53" s="48" t="s">
        <v>326</v>
      </c>
    </row>
    <row r="54" spans="1:6" x14ac:dyDescent="0.25">
      <c r="A54" s="48"/>
      <c r="C54" s="49" t="s">
        <v>258</v>
      </c>
    </row>
    <row r="55" spans="1:6" x14ac:dyDescent="0.25">
      <c r="A55" s="20"/>
    </row>
  </sheetData>
  <mergeCells count="34">
    <mergeCell ref="A17:A18"/>
    <mergeCell ref="A27:A28"/>
    <mergeCell ref="A31:A32"/>
    <mergeCell ref="C16:C17"/>
    <mergeCell ref="C22:C23"/>
    <mergeCell ref="A24:A25"/>
    <mergeCell ref="F11:F12"/>
    <mergeCell ref="F34:F35"/>
    <mergeCell ref="F14:F15"/>
    <mergeCell ref="F31:F32"/>
    <mergeCell ref="F27:F28"/>
    <mergeCell ref="F17:F18"/>
    <mergeCell ref="F23:F25"/>
    <mergeCell ref="A11:A12"/>
    <mergeCell ref="A14:A15"/>
    <mergeCell ref="E33:E36"/>
    <mergeCell ref="E10:E12"/>
    <mergeCell ref="E16:E18"/>
    <mergeCell ref="E30:E32"/>
    <mergeCell ref="E26:E29"/>
    <mergeCell ref="E22:E25"/>
    <mergeCell ref="F38:F39"/>
    <mergeCell ref="E37:E39"/>
    <mergeCell ref="E49:E50"/>
    <mergeCell ref="C37:C38"/>
    <mergeCell ref="C49:C50"/>
    <mergeCell ref="A38:A39"/>
    <mergeCell ref="C33:C34"/>
    <mergeCell ref="A34:A35"/>
    <mergeCell ref="A41:A42"/>
    <mergeCell ref="D49:D50"/>
    <mergeCell ref="A44:A45"/>
    <mergeCell ref="C46:C47"/>
    <mergeCell ref="C40:C41"/>
  </mergeCells>
  <hyperlinks>
    <hyperlink ref="C35" r:id="rId1" display="mailto:lattaia@webmail.co.za" xr:uid="{00000000-0004-0000-0600-000000000000}"/>
    <hyperlink ref="C18" r:id="rId2" display="mailto:curlewiswalter@yahoo.com" xr:uid="{00000000-0004-0000-0600-000003000000}"/>
    <hyperlink ref="C29" r:id="rId3" display="mailto:joubert@limpopodairy.co.za" xr:uid="{00000000-0004-0000-0600-000006000000}"/>
    <hyperlink ref="C54" r:id="rId4" display="http://www.milkgoats.co.za/" xr:uid="{00000000-0004-0000-0600-00000D000000}"/>
    <hyperlink ref="C21" r:id="rId5" display="mailto:sivuyiled@gmail.com" xr:uid="{00000000-0004-0000-0600-000004000000}"/>
    <hyperlink ref="C32" r:id="rId6" xr:uid="{0CDB130A-D64A-4DFA-8E28-3718466B8F11}"/>
    <hyperlink ref="C12" r:id="rId7" xr:uid="{B2548D22-F1C2-4BE0-9FF0-BE971F00FD92}"/>
    <hyperlink ref="C39" r:id="rId8" xr:uid="{95C79455-CBEE-4C2E-8909-2C62331C6B68}"/>
    <hyperlink ref="C15" r:id="rId9" xr:uid="{E3F05F39-5F1A-4751-8530-E943FE6CB749}"/>
    <hyperlink ref="C25" r:id="rId10" xr:uid="{A7A400B5-E8D8-4262-997A-37B0DD216F59}"/>
    <hyperlink ref="C42" r:id="rId11" xr:uid="{ADD3EFBD-D7C8-4475-AEF1-2FF84836EF57}"/>
    <hyperlink ref="C45" r:id="rId12" xr:uid="{1EBAC65B-21A8-4450-B0EA-E601FF06ABCC}"/>
    <hyperlink ref="C11" r:id="rId13" xr:uid="{52D8F13C-D385-4156-8CA0-27E4EEBE8E32}"/>
  </hyperlinks>
  <printOptions horizontalCentered="1"/>
  <pageMargins left="0.25" right="0.25" top="0.75" bottom="0.75" header="0.3" footer="0.3"/>
  <pageSetup paperSize="9" orientation="portrait" r:id="rId14"/>
  <drawing r:id="rId1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5:A41"/>
  <sheetViews>
    <sheetView workbookViewId="0">
      <selection activeCell="A32" sqref="A32"/>
    </sheetView>
  </sheetViews>
  <sheetFormatPr defaultRowHeight="15" x14ac:dyDescent="0.25"/>
  <cols>
    <col min="1" max="1" width="31.42578125" customWidth="1"/>
  </cols>
  <sheetData>
    <row r="5" spans="1:1" ht="15.6" customHeight="1" x14ac:dyDescent="0.25">
      <c r="A5" s="51" t="s">
        <v>280</v>
      </c>
    </row>
    <row r="6" spans="1:1" ht="15.6" customHeight="1" x14ac:dyDescent="0.25">
      <c r="A6" s="51" t="s">
        <v>281</v>
      </c>
    </row>
    <row r="7" spans="1:1" ht="15.6" customHeight="1" x14ac:dyDescent="0.25">
      <c r="A7" s="53" t="s">
        <v>282</v>
      </c>
    </row>
    <row r="8" spans="1:1" ht="15.6" customHeight="1" x14ac:dyDescent="0.25">
      <c r="A8" s="51" t="s">
        <v>283</v>
      </c>
    </row>
    <row r="9" spans="1:1" ht="15.6" customHeight="1" x14ac:dyDescent="0.25">
      <c r="A9" s="51" t="s">
        <v>284</v>
      </c>
    </row>
    <row r="10" spans="1:1" ht="15.6" customHeight="1" x14ac:dyDescent="0.25">
      <c r="A10" s="51" t="s">
        <v>285</v>
      </c>
    </row>
    <row r="11" spans="1:1" ht="15.6" customHeight="1" x14ac:dyDescent="0.25">
      <c r="A11" s="51" t="s">
        <v>286</v>
      </c>
    </row>
    <row r="12" spans="1:1" ht="15.6" customHeight="1" x14ac:dyDescent="0.25">
      <c r="A12" s="51" t="s">
        <v>287</v>
      </c>
    </row>
    <row r="13" spans="1:1" ht="15.6" customHeight="1" x14ac:dyDescent="0.25">
      <c r="A13" s="51" t="s">
        <v>288</v>
      </c>
    </row>
    <row r="14" spans="1:1" ht="15.6" customHeight="1" x14ac:dyDescent="0.25">
      <c r="A14" s="51" t="s">
        <v>289</v>
      </c>
    </row>
    <row r="15" spans="1:1" ht="15.6" customHeight="1" x14ac:dyDescent="0.25">
      <c r="A15" s="51" t="s">
        <v>290</v>
      </c>
    </row>
    <row r="16" spans="1:1" ht="15.6" customHeight="1" x14ac:dyDescent="0.25">
      <c r="A16" s="51" t="s">
        <v>291</v>
      </c>
    </row>
    <row r="17" spans="1:1" ht="15.6" customHeight="1" x14ac:dyDescent="0.25">
      <c r="A17" s="51" t="s">
        <v>292</v>
      </c>
    </row>
    <row r="18" spans="1:1" ht="15.6" customHeight="1" x14ac:dyDescent="0.25">
      <c r="A18" s="51" t="s">
        <v>293</v>
      </c>
    </row>
    <row r="19" spans="1:1" ht="15.6" customHeight="1" x14ac:dyDescent="0.25">
      <c r="A19" s="51" t="s">
        <v>294</v>
      </c>
    </row>
    <row r="20" spans="1:1" ht="15.6" customHeight="1" x14ac:dyDescent="0.25">
      <c r="A20" s="54" t="s">
        <v>295</v>
      </c>
    </row>
    <row r="21" spans="1:1" ht="15.6" customHeight="1" x14ac:dyDescent="0.25"/>
    <row r="24" spans="1:1" x14ac:dyDescent="0.25">
      <c r="A24" s="50"/>
    </row>
    <row r="25" spans="1:1" x14ac:dyDescent="0.25">
      <c r="A25" s="50"/>
    </row>
    <row r="26" spans="1:1" x14ac:dyDescent="0.25">
      <c r="A26" s="50"/>
    </row>
    <row r="27" spans="1:1" x14ac:dyDescent="0.25">
      <c r="A27" s="51"/>
    </row>
    <row r="28" spans="1:1" x14ac:dyDescent="0.25">
      <c r="A28" s="50"/>
    </row>
    <row r="29" spans="1:1" x14ac:dyDescent="0.25">
      <c r="A29" s="50"/>
    </row>
    <row r="30" spans="1:1" x14ac:dyDescent="0.25">
      <c r="A30" s="50"/>
    </row>
    <row r="33" spans="1:1" x14ac:dyDescent="0.25">
      <c r="A33" s="52"/>
    </row>
    <row r="34" spans="1:1" x14ac:dyDescent="0.25">
      <c r="A34" s="50"/>
    </row>
    <row r="35" spans="1:1" x14ac:dyDescent="0.25">
      <c r="A35" s="52"/>
    </row>
    <row r="36" spans="1:1" x14ac:dyDescent="0.25">
      <c r="A36" s="50"/>
    </row>
    <row r="37" spans="1:1" x14ac:dyDescent="0.25">
      <c r="A37" s="50"/>
    </row>
    <row r="38" spans="1:1" x14ac:dyDescent="0.25">
      <c r="A38" s="52"/>
    </row>
    <row r="39" spans="1:1" x14ac:dyDescent="0.25">
      <c r="A39" s="52"/>
    </row>
    <row r="40" spans="1:1" x14ac:dyDescent="0.25">
      <c r="A40" s="50"/>
    </row>
    <row r="41" spans="1:1" x14ac:dyDescent="0.25">
      <c r="A41" s="50"/>
    </row>
  </sheetData>
  <sortState xmlns:xlrd2="http://schemas.microsoft.com/office/spreadsheetml/2017/richdata2" ref="A5:A41">
    <sortCondition ref="A5:A41"/>
  </sortState>
  <hyperlinks>
    <hyperlink ref="A12" r:id="rId1" xr:uid="{00000000-0004-0000-0700-000000000000}"/>
    <hyperlink ref="A6" r:id="rId2" xr:uid="{00000000-0004-0000-0700-000001000000}"/>
    <hyperlink ref="A8" r:id="rId3" xr:uid="{00000000-0004-0000-0700-000002000000}"/>
    <hyperlink ref="A19" r:id="rId4" xr:uid="{00000000-0004-0000-0700-000003000000}"/>
    <hyperlink ref="A13" r:id="rId5" xr:uid="{00000000-0004-0000-0700-000004000000}"/>
    <hyperlink ref="A14" r:id="rId6" xr:uid="{00000000-0004-0000-0700-000005000000}"/>
    <hyperlink ref="A17" r:id="rId7" xr:uid="{00000000-0004-0000-0700-000006000000}"/>
    <hyperlink ref="A16" r:id="rId8" xr:uid="{00000000-0004-0000-0700-000007000000}"/>
    <hyperlink ref="A9" r:id="rId9" xr:uid="{00000000-0004-0000-0700-000008000000}"/>
    <hyperlink ref="A15" r:id="rId10" xr:uid="{00000000-0004-0000-0700-000009000000}"/>
    <hyperlink ref="A11" r:id="rId11" xr:uid="{00000000-0004-0000-0700-00000A000000}"/>
    <hyperlink ref="A18" r:id="rId12" xr:uid="{00000000-0004-0000-0700-00000B000000}"/>
    <hyperlink ref="A7" r:id="rId13" xr:uid="{00000000-0004-0000-0700-00000C000000}"/>
    <hyperlink ref="A5" r:id="rId14" xr:uid="{00000000-0004-0000-0700-00000D000000}"/>
    <hyperlink ref="A20" r:id="rId15" xr:uid="{00000000-0004-0000-0700-00000E000000}"/>
    <hyperlink ref="A10" r:id="rId16" xr:uid="{00000000-0004-0000-0700-00000F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Report Dec17</vt:lpstr>
      <vt:lpstr>Report Sep18</vt:lpstr>
      <vt:lpstr>Invoicing</vt:lpstr>
      <vt:lpstr>Payments</vt:lpstr>
      <vt:lpstr>Cover</vt:lpstr>
      <vt:lpstr>Recon</vt:lpstr>
      <vt:lpstr>Ledelys</vt:lpstr>
      <vt:lpstr>Emails</vt:lpstr>
      <vt:lpstr>Recon!Print_Titles</vt:lpstr>
      <vt:lpstr>'Report Dec17'!Print_Titles</vt:lpstr>
      <vt:lpstr>'Report Sep18'!Print_Titles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Windows User</cp:lastModifiedBy>
  <cp:lastPrinted>2023-05-18T12:12:48Z</cp:lastPrinted>
  <dcterms:created xsi:type="dcterms:W3CDTF">2012-03-12T07:13:16Z</dcterms:created>
  <dcterms:modified xsi:type="dcterms:W3CDTF">2023-05-18T12:21:17Z</dcterms:modified>
</cp:coreProperties>
</file>